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tabRatio="814" firstSheet="4" activeTab="10"/>
  </bookViews>
  <sheets>
    <sheet name="Квоти 2011_10км" sheetId="1" r:id="rId1"/>
    <sheet name="Відбір &quot;Україна&quot;" sheetId="2" r:id="rId2"/>
    <sheet name="1-2 попер.раунди_10км" sheetId="3" r:id="rId3"/>
    <sheet name="ЧЄ-2011" sheetId="4" r:id="rId4"/>
    <sheet name="Рейтинг країн" sheetId="5" r:id="rId5"/>
    <sheet name="1-ий раунд естаф" sheetId="6" r:id="rId6"/>
    <sheet name="2-ий раунд естаф" sheetId="7" r:id="rId7"/>
    <sheet name="3-ий раунд естаф" sheetId="8" r:id="rId8"/>
    <sheet name="4-ий раунд естаф (пул)" sheetId="9" r:id="rId9"/>
    <sheet name="5-ий раунд естаф" sheetId="10" r:id="rId10"/>
    <sheet name="ЧЄ_ест" sheetId="11" r:id="rId11"/>
    <sheet name="Міста Укр" sheetId="12" r:id="rId12"/>
    <sheet name="Історія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rm-3</author>
  </authors>
  <commentList>
    <comment ref="J73" authorId="0">
      <text>
        <r>
          <rPr>
            <sz val="8"/>
            <rFont val="Tahoma"/>
            <family val="0"/>
          </rPr>
          <t xml:space="preserve">+300 бонус за выход в ф.р.
</t>
        </r>
      </text>
    </comment>
  </commentList>
</comments>
</file>

<file path=xl/comments6.xml><?xml version="1.0" encoding="utf-8"?>
<comments xmlns="http://schemas.openxmlformats.org/spreadsheetml/2006/main">
  <authors>
    <author>Журавель</author>
  </authors>
  <commentList>
    <comment ref="L26" authorId="0">
      <text>
        <r>
          <rPr>
            <b/>
            <sz val="8"/>
            <rFont val="Tahoma"/>
            <family val="0"/>
          </rPr>
          <t>з урах.потраплянь</t>
        </r>
      </text>
    </comment>
  </commentList>
</comments>
</file>

<file path=xl/comments8.xml><?xml version="1.0" encoding="utf-8"?>
<comments xmlns="http://schemas.openxmlformats.org/spreadsheetml/2006/main">
  <authors>
    <author>Журавель</author>
  </authors>
  <commentList>
    <comment ref="R1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2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3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4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5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6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7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R80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2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3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4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5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6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7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80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Q9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9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0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0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1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1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2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2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3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3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4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4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5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5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  <comment ref="Q162" authorId="0">
      <text>
        <r>
          <rPr>
            <sz val="8"/>
            <rFont val="Tahoma"/>
            <family val="0"/>
          </rPr>
          <t xml:space="preserve">2900 м. Для 1-го 3000м
</t>
        </r>
      </text>
    </comment>
    <comment ref="R162" authorId="0">
      <text>
        <r>
          <rPr>
            <sz val="8"/>
            <rFont val="Tahoma"/>
            <family val="0"/>
          </rPr>
          <t xml:space="preserve">з урахуванням потраплянь в зону 
</t>
        </r>
      </text>
    </comment>
  </commentList>
</comments>
</file>

<file path=xl/sharedStrings.xml><?xml version="1.0" encoding="utf-8"?>
<sst xmlns="http://schemas.openxmlformats.org/spreadsheetml/2006/main" count="6528" uniqueCount="1510">
  <si>
    <t>Донецька</t>
  </si>
  <si>
    <t>Київська</t>
  </si>
  <si>
    <t>Івано-Франківська</t>
  </si>
  <si>
    <t>5 кращих:</t>
  </si>
  <si>
    <t>8 забігів по 8 учасників. Дніпропетровськ. Стадіон "Метеор"</t>
  </si>
  <si>
    <t>Місто (область, для райцентрів)</t>
  </si>
  <si>
    <t>Примітка: Час Чистий - для 1-го учасника, що вибігає - це 3000м, для інших - 2900м (без 100метрової зони (50 метрів - при старті, 50 метрів - при фініші)</t>
  </si>
  <si>
    <t xml:space="preserve">ЧАС * - час вибігу, з урахуванням потраплянь фішки в зону, а також і той час, що був витрачений на розіграш фішки </t>
  </si>
  <si>
    <t>Вийшли з 1-го раунду</t>
  </si>
  <si>
    <t>Броди (Львівська)</t>
  </si>
  <si>
    <t>Бердянськ (Запорізька)</t>
  </si>
  <si>
    <t>Склади учасників забігів</t>
  </si>
  <si>
    <t>Прохід</t>
  </si>
  <si>
    <t>Сергій Уладдєв (1986)</t>
  </si>
  <si>
    <t>Єгор Тигролов (1986)</t>
  </si>
  <si>
    <t>Валерій Анфісов (1986)</t>
  </si>
  <si>
    <t>Олексій Градкий (1984)</t>
  </si>
  <si>
    <t>Олексій Довгий (1982)</t>
  </si>
  <si>
    <t>Запоріжсталь</t>
  </si>
  <si>
    <t>(Учасникам можно проводити 2 заміни упродовж турніру ЧЄ, включаючи заміни у відборі)</t>
  </si>
  <si>
    <t>Рейтингові</t>
  </si>
  <si>
    <t>№ пула</t>
  </si>
  <si>
    <t>Дата</t>
  </si>
  <si>
    <t>Київ</t>
  </si>
  <si>
    <t>Івано-Франківськ</t>
  </si>
  <si>
    <t>Дніпропетровськ</t>
  </si>
  <si>
    <t>Симферополь</t>
  </si>
  <si>
    <t>Суми</t>
  </si>
  <si>
    <t>ЧАС</t>
  </si>
  <si>
    <t>1 кошик</t>
  </si>
  <si>
    <t xml:space="preserve">Області учасники (перша область - господар) </t>
  </si>
  <si>
    <t>Прохід місто, область</t>
  </si>
  <si>
    <t>Перший кваліфікаційний раунд</t>
  </si>
  <si>
    <t>Автономна Республіка Крим, Херсонська область</t>
  </si>
  <si>
    <t>Вінницька область, Хмельницька область</t>
  </si>
  <si>
    <t>Львівська область, Волинська область</t>
  </si>
  <si>
    <t>Дніпропетровська область, Черкаська область</t>
  </si>
  <si>
    <t>Донецька область, Луганська область</t>
  </si>
  <si>
    <t>Київська область, Житомирська область</t>
  </si>
  <si>
    <t>Закарпатська область, Івано-Франківська, Чернівецька</t>
  </si>
  <si>
    <t>Запорізька, Кировоградська</t>
  </si>
  <si>
    <t>Одеська, Миколаївська</t>
  </si>
  <si>
    <t>Полтавська, Харківська</t>
  </si>
  <si>
    <t>Тернопільська, Рівненська</t>
  </si>
  <si>
    <t>Сумська, Чернігівська</t>
  </si>
  <si>
    <t>Другий кваліфікаційний раунд</t>
  </si>
  <si>
    <t>З другого кваліфікаційного раунду стартують:</t>
  </si>
  <si>
    <t>Черкаси</t>
  </si>
  <si>
    <t>Луганськ</t>
  </si>
  <si>
    <t>Чернігів</t>
  </si>
  <si>
    <t>Рівне</t>
  </si>
  <si>
    <t>Тернопіль</t>
  </si>
  <si>
    <t>Хмельницький</t>
  </si>
  <si>
    <t>Херсон</t>
  </si>
  <si>
    <t>Миколаїв</t>
  </si>
  <si>
    <t>Луцьк</t>
  </si>
  <si>
    <t>Ужгород</t>
  </si>
  <si>
    <t>Чернівці</t>
  </si>
  <si>
    <t>Кировоград</t>
  </si>
  <si>
    <t>Житомир</t>
  </si>
  <si>
    <t>Вінниця</t>
  </si>
  <si>
    <t>Полтава</t>
  </si>
  <si>
    <t>Чемпіонат Європи 2011 року. Брага. Португалiя. Чоловіки</t>
  </si>
  <si>
    <t>До кваліфікаційного раунду виходять (за рейтингом останніх 3 років 01.01.2008-01.05.2011 р):</t>
  </si>
  <si>
    <t>( у 2 кошику, т.як переможець 2-го раунду)</t>
  </si>
  <si>
    <t>13 команд з другого раунду, Одеса, Запорiжжя, Львiв</t>
  </si>
  <si>
    <t xml:space="preserve">не беруть участь 3 міста (Одеса, Запорiжжя, Львiв), що мають найвищий рейтинг* і стартують з 3-го квал. раунду </t>
  </si>
  <si>
    <t>Рейтинг визначається за 3 останні періоди (2009-2011роки)</t>
  </si>
  <si>
    <t>Харкiв</t>
  </si>
  <si>
    <t>Дергачi (Харкiвська обл)</t>
  </si>
  <si>
    <t>Жовтi Води</t>
  </si>
  <si>
    <t>Лисичанськ</t>
  </si>
  <si>
    <t>Бородянка</t>
  </si>
  <si>
    <t>Ананьїв</t>
  </si>
  <si>
    <t>Iзмаїл</t>
  </si>
  <si>
    <t>Лутугiно</t>
  </si>
  <si>
    <t>Луганська</t>
  </si>
  <si>
    <t>Дружкiвка (Донецька)</t>
  </si>
  <si>
    <t xml:space="preserve">Краматорськ </t>
  </si>
  <si>
    <t xml:space="preserve">Татарбунари </t>
  </si>
  <si>
    <t>Учасники забігу 1. 7 травня (сб) 14:00</t>
  </si>
  <si>
    <t>Учасники забігу 3. 7 травня (сб) 17:00</t>
  </si>
  <si>
    <t>Учасники забігу 2. 7 травня (сб) 16:00</t>
  </si>
  <si>
    <t>Учасники забігу 4. 7 травня (сб) 18:00</t>
  </si>
  <si>
    <t>Учасники забігу 5. 8 травня (нд) 15:00</t>
  </si>
  <si>
    <t>Учасники забігу 6. 8 травня (нд) 16:00</t>
  </si>
  <si>
    <t>Учасники забігу 7. 8 травня (нд) 17:00</t>
  </si>
  <si>
    <t>Учасники забігу 8. 8 травня (нд) 18:00</t>
  </si>
  <si>
    <t>Мелітополь (Запорізька обл)</t>
  </si>
  <si>
    <t>Дніпродзержинськ (Дніпропетровська обл)</t>
  </si>
  <si>
    <t>Кривій Ріг (Дніпропетровська обл)</t>
  </si>
  <si>
    <t>Маріуполь (Донецька обл)</t>
  </si>
  <si>
    <t xml:space="preserve">Будапешт </t>
  </si>
  <si>
    <t>Горлівка (Донецька обл)</t>
  </si>
  <si>
    <t>Алчевськ (Луганська обл)</t>
  </si>
  <si>
    <t>Севастополь (АРК)</t>
  </si>
  <si>
    <t>Макіївка (Донецька обл)</t>
  </si>
  <si>
    <t>Артемівськ (Донецька обл)</t>
  </si>
  <si>
    <t>Стрий (Львівська обл)</t>
  </si>
  <si>
    <t>Виходять у наступний раунд - переможці пулів і 5 кращих за часом команд</t>
  </si>
  <si>
    <t>Кам'янець-Подільський (Хмельницька обл)</t>
  </si>
  <si>
    <t>Мукачеве (Закарпатська обл)</t>
  </si>
  <si>
    <t>Ковель (Волинська обл)</t>
  </si>
  <si>
    <t>Сєвєродонецьк (Луганська обл)</t>
  </si>
  <si>
    <t>Олександрія (Кировоградська обл)</t>
  </si>
  <si>
    <t>Бердичев</t>
  </si>
  <si>
    <t>Авдеевка</t>
  </si>
  <si>
    <t>Донецкая область</t>
  </si>
  <si>
    <t>Александрия</t>
  </si>
  <si>
    <t>Кировоградская область</t>
  </si>
  <si>
    <t>Александровск</t>
  </si>
  <si>
    <t>Луганская область</t>
  </si>
  <si>
    <t>Алмазная</t>
  </si>
  <si>
    <t>Алупка</t>
  </si>
  <si>
    <t>АР Крым</t>
  </si>
  <si>
    <t>Алушта</t>
  </si>
  <si>
    <t>Алчевск</t>
  </si>
  <si>
    <t>Амвросиевка</t>
  </si>
  <si>
    <t>Ананьев</t>
  </si>
  <si>
    <t>Одесская область</t>
  </si>
  <si>
    <t>Андрушевка</t>
  </si>
  <si>
    <t>Житомирская область</t>
  </si>
  <si>
    <t>Антрацит</t>
  </si>
  <si>
    <t>Апостолово</t>
  </si>
  <si>
    <t>Днепропетровская область</t>
  </si>
  <si>
    <t>Армянск</t>
  </si>
  <si>
    <t>Артемово</t>
  </si>
  <si>
    <t>Артемовск</t>
  </si>
  <si>
    <t>Арциз</t>
  </si>
  <si>
    <t>Ахтырка</t>
  </si>
  <si>
    <t>Сумская область</t>
  </si>
  <si>
    <t>Балаклея</t>
  </si>
  <si>
    <t>Харьковская область</t>
  </si>
  <si>
    <t>Балта</t>
  </si>
  <si>
    <t>Бар</t>
  </si>
  <si>
    <t>Винницкая область</t>
  </si>
  <si>
    <t>Барвенково</t>
  </si>
  <si>
    <t>Бахмач</t>
  </si>
  <si>
    <t>Черниговская область</t>
  </si>
  <si>
    <t>Бахчисарай</t>
  </si>
  <si>
    <t>Баштанка</t>
  </si>
  <si>
    <t>Николаевская область</t>
  </si>
  <si>
    <t>Белая Церковь</t>
  </si>
  <si>
    <t>Киевская область</t>
  </si>
  <si>
    <t>Белгород-Днестровский</t>
  </si>
  <si>
    <t>Белз</t>
  </si>
  <si>
    <t>Львовская область</t>
  </si>
  <si>
    <t>Белицкое</t>
  </si>
  <si>
    <t>Белогорск</t>
  </si>
  <si>
    <t>Белозерское</t>
  </si>
  <si>
    <t>Белополье</t>
  </si>
  <si>
    <t>Беляевка</t>
  </si>
  <si>
    <t>Бердянск</t>
  </si>
  <si>
    <t>Запорожская область</t>
  </si>
  <si>
    <t>Берегово</t>
  </si>
  <si>
    <t>Закарпатская область</t>
  </si>
  <si>
    <t>Бережаны</t>
  </si>
  <si>
    <t>Тернопольская область</t>
  </si>
  <si>
    <t>Березань</t>
  </si>
  <si>
    <t>Березовка</t>
  </si>
  <si>
    <t>Берестечко</t>
  </si>
  <si>
    <t>Волынская область</t>
  </si>
  <si>
    <t>Берислав</t>
  </si>
  <si>
    <t>Херсонская область</t>
  </si>
  <si>
    <t>Бершадь</t>
  </si>
  <si>
    <t>Бобринец</t>
  </si>
  <si>
    <t>Бобрка</t>
  </si>
  <si>
    <t>Бобровица</t>
  </si>
  <si>
    <t>Богодухов</t>
  </si>
  <si>
    <t>Богуслав</t>
  </si>
  <si>
    <t>Болград</t>
  </si>
  <si>
    <t>Болехов</t>
  </si>
  <si>
    <t>Ивано-Франковская область</t>
  </si>
  <si>
    <t>Борзна</t>
  </si>
  <si>
    <t>Борислав</t>
  </si>
  <si>
    <t>Борисполь</t>
  </si>
  <si>
    <t>Борщев</t>
  </si>
  <si>
    <t>Боярка</t>
  </si>
  <si>
    <t>Бровары</t>
  </si>
  <si>
    <t>Броды</t>
  </si>
  <si>
    <t>Брянка</t>
  </si>
  <si>
    <t>Бурштын</t>
  </si>
  <si>
    <t>Бурынь</t>
  </si>
  <si>
    <t>Буск</t>
  </si>
  <si>
    <t>Бучач</t>
  </si>
  <si>
    <t>Валки</t>
  </si>
  <si>
    <t>Васильевка</t>
  </si>
  <si>
    <t>Васильков</t>
  </si>
  <si>
    <t>Ватутино</t>
  </si>
  <si>
    <t>Черкасская область</t>
  </si>
  <si>
    <t>Вахрушево</t>
  </si>
  <si>
    <t>Вашковцы</t>
  </si>
  <si>
    <t>Черновицкая область</t>
  </si>
  <si>
    <t>Великие Мосты</t>
  </si>
  <si>
    <t>Верхнеднепровск</t>
  </si>
  <si>
    <t>Верховцево</t>
  </si>
  <si>
    <t>Вижница</t>
  </si>
  <si>
    <t>Вилково</t>
  </si>
  <si>
    <t>Винники</t>
  </si>
  <si>
    <t>Винница</t>
  </si>
  <si>
    <t>Виноградов</t>
  </si>
  <si>
    <t>Вишневое</t>
  </si>
  <si>
    <t>Владимир-Волынский</t>
  </si>
  <si>
    <t>Вознесенск</t>
  </si>
  <si>
    <t>Волноваха</t>
  </si>
  <si>
    <t>Волочиск</t>
  </si>
  <si>
    <t>Хмельницкая область</t>
  </si>
  <si>
    <t>Волчанск</t>
  </si>
  <si>
    <t>Вольногорск</t>
  </si>
  <si>
    <t>Вольнянск</t>
  </si>
  <si>
    <t>Ворожба</t>
  </si>
  <si>
    <t>Высокий</t>
  </si>
  <si>
    <t>Вышгород</t>
  </si>
  <si>
    <t>Гадяч</t>
  </si>
  <si>
    <t>Полтавская область</t>
  </si>
  <si>
    <t>Гайворон</t>
  </si>
  <si>
    <t>Гайсин</t>
  </si>
  <si>
    <t>Галич</t>
  </si>
  <si>
    <t>Геническ</t>
  </si>
  <si>
    <t>Герца</t>
  </si>
  <si>
    <t>Глиняны</t>
  </si>
  <si>
    <t>Глобино</t>
  </si>
  <si>
    <t>Глухов</t>
  </si>
  <si>
    <t>Гнивань</t>
  </si>
  <si>
    <t>Голая Пристань</t>
  </si>
  <si>
    <t>Горловка</t>
  </si>
  <si>
    <t>Горняк</t>
  </si>
  <si>
    <t>Городенка</t>
  </si>
  <si>
    <t>Городище</t>
  </si>
  <si>
    <t>Городня</t>
  </si>
  <si>
    <t>Городок</t>
  </si>
  <si>
    <t>Горохов</t>
  </si>
  <si>
    <t>Горское</t>
  </si>
  <si>
    <t>Гребенка</t>
  </si>
  <si>
    <t>Гуляйполе</t>
  </si>
  <si>
    <t>Дебальцево</t>
  </si>
  <si>
    <t>Деражня</t>
  </si>
  <si>
    <t>Дергачи</t>
  </si>
  <si>
    <t>Джанкой</t>
  </si>
  <si>
    <t>Дзержинск</t>
  </si>
  <si>
    <t>Димитров</t>
  </si>
  <si>
    <t>Днепродзержинск</t>
  </si>
  <si>
    <t>Днепропетровск</t>
  </si>
  <si>
    <t>Днепрорудное</t>
  </si>
  <si>
    <t>Добромиль</t>
  </si>
  <si>
    <t>Доброполье</t>
  </si>
  <si>
    <t>Докучаевск</t>
  </si>
  <si>
    <t>Долина</t>
  </si>
  <si>
    <t>Долинская</t>
  </si>
  <si>
    <t>Донецк</t>
  </si>
  <si>
    <t>Дрогобыч</t>
  </si>
  <si>
    <t>Дружба</t>
  </si>
  <si>
    <t>Дружковка</t>
  </si>
  <si>
    <t>Дубляны</t>
  </si>
  <si>
    <t>Дубно</t>
  </si>
  <si>
    <t>Ровенская область</t>
  </si>
  <si>
    <t>Дубровица</t>
  </si>
  <si>
    <t>Дунаевцы</t>
  </si>
  <si>
    <t>Евпатория</t>
  </si>
  <si>
    <t>Енакиево</t>
  </si>
  <si>
    <t>Жашков</t>
  </si>
  <si>
    <t>Ждановка</t>
  </si>
  <si>
    <t>Желтые Воды</t>
  </si>
  <si>
    <t>Жидачив</t>
  </si>
  <si>
    <t>Жмеринка</t>
  </si>
  <si>
    <t>Жолква</t>
  </si>
  <si>
    <t>Залещики</t>
  </si>
  <si>
    <t>Запорожье</t>
  </si>
  <si>
    <t>Заставна</t>
  </si>
  <si>
    <t>Збараж</t>
  </si>
  <si>
    <t>Зборов</t>
  </si>
  <si>
    <t>Звенигородка</t>
  </si>
  <si>
    <t>Здолбунов</t>
  </si>
  <si>
    <t>Зеленодольск</t>
  </si>
  <si>
    <t>Зеньков</t>
  </si>
  <si>
    <t>Зимогорье</t>
  </si>
  <si>
    <t>Змиев</t>
  </si>
  <si>
    <t>Знаменка</t>
  </si>
  <si>
    <t>Золотое</t>
  </si>
  <si>
    <t>Золотоноша</t>
  </si>
  <si>
    <t>Золочев</t>
  </si>
  <si>
    <t>Зоринск</t>
  </si>
  <si>
    <t>Зугрэс</t>
  </si>
  <si>
    <t>Ивано-Франковск</t>
  </si>
  <si>
    <t>Измаил</t>
  </si>
  <si>
    <t>Изюм</t>
  </si>
  <si>
    <t>Изяслав</t>
  </si>
  <si>
    <t>Иловайск</t>
  </si>
  <si>
    <t>Ильинцы</t>
  </si>
  <si>
    <t>Ильичевск</t>
  </si>
  <si>
    <t>Ингулец</t>
  </si>
  <si>
    <t>Инкерман</t>
  </si>
  <si>
    <t>Севастополь</t>
  </si>
  <si>
    <t>Ирпень</t>
  </si>
  <si>
    <t>Иршава</t>
  </si>
  <si>
    <t>Ичня</t>
  </si>
  <si>
    <t>Кагарлык</t>
  </si>
  <si>
    <t>Казатин</t>
  </si>
  <si>
    <t>Калиновка</t>
  </si>
  <si>
    <t>Калуш</t>
  </si>
  <si>
    <t>Каменец-Подольский</t>
  </si>
  <si>
    <t>Каменка</t>
  </si>
  <si>
    <t>Каменка-Бугская</t>
  </si>
  <si>
    <t>Каменка-Днепровская</t>
  </si>
  <si>
    <t>Камень-Каширский</t>
  </si>
  <si>
    <t>Канев</t>
  </si>
  <si>
    <t>Карловка</t>
  </si>
  <si>
    <t>Каховка</t>
  </si>
  <si>
    <t>Керчь</t>
  </si>
  <si>
    <t>Киверцы</t>
  </si>
  <si>
    <t>Киев</t>
  </si>
  <si>
    <t>Килия</t>
  </si>
  <si>
    <t>Кировск</t>
  </si>
  <si>
    <t>Кировское</t>
  </si>
  <si>
    <t>Кицмань</t>
  </si>
  <si>
    <t>Кобеляки</t>
  </si>
  <si>
    <t>Ковель</t>
  </si>
  <si>
    <t>Ковшаровка</t>
  </si>
  <si>
    <t>Кодыма</t>
  </si>
  <si>
    <t>Козятин</t>
  </si>
  <si>
    <t>Коломыя</t>
  </si>
  <si>
    <t>Комарно</t>
  </si>
  <si>
    <t>Комсомольск</t>
  </si>
  <si>
    <t>Комсомольское</t>
  </si>
  <si>
    <t>Конотоп</t>
  </si>
  <si>
    <t>Константиновка</t>
  </si>
  <si>
    <t>Копычинцы</t>
  </si>
  <si>
    <t>Корец</t>
  </si>
  <si>
    <t>Коростень</t>
  </si>
  <si>
    <t>Коростышев</t>
  </si>
  <si>
    <t>Корсунь-Шевченковский</t>
  </si>
  <si>
    <t>Корюковка</t>
  </si>
  <si>
    <t>Косов</t>
  </si>
  <si>
    <t>Костополь</t>
  </si>
  <si>
    <t>Котовск</t>
  </si>
  <si>
    <t>Краматорск</t>
  </si>
  <si>
    <t>Красилов</t>
  </si>
  <si>
    <t>Красноармейск</t>
  </si>
  <si>
    <t>Красногоровка</t>
  </si>
  <si>
    <t>Красноград</t>
  </si>
  <si>
    <t>Краснодон</t>
  </si>
  <si>
    <t>Красноперекопск</t>
  </si>
  <si>
    <t>Красный Лиман</t>
  </si>
  <si>
    <t>Красный Луч</t>
  </si>
  <si>
    <t>Кременец</t>
  </si>
  <si>
    <t>Кременная</t>
  </si>
  <si>
    <t>Кременчуг</t>
  </si>
  <si>
    <t>Кривой Рог</t>
  </si>
  <si>
    <t>Кролевец</t>
  </si>
  <si>
    <t>Кузнецовск</t>
  </si>
  <si>
    <t>Купянск</t>
  </si>
  <si>
    <t>Курахово</t>
  </si>
  <si>
    <t>Ладыжин</t>
  </si>
  <si>
    <t>Лебедин</t>
  </si>
  <si>
    <t>Лисичанск</t>
  </si>
  <si>
    <t>Лозовая</t>
  </si>
  <si>
    <t>Лохвица</t>
  </si>
  <si>
    <t>Лубны</t>
  </si>
  <si>
    <t>Лутугино</t>
  </si>
  <si>
    <t>Луцк</t>
  </si>
  <si>
    <t>Львов</t>
  </si>
  <si>
    <t>Любомль</t>
  </si>
  <si>
    <t>Люботин</t>
  </si>
  <si>
    <t>Макеевка</t>
  </si>
  <si>
    <t>Малая Виска</t>
  </si>
  <si>
    <t>Малин</t>
  </si>
  <si>
    <t>Марганец</t>
  </si>
  <si>
    <t>Мариуполь</t>
  </si>
  <si>
    <t>Марьинка</t>
  </si>
  <si>
    <t>Мелитополь</t>
  </si>
  <si>
    <t>Мена</t>
  </si>
  <si>
    <t>Мерефа</t>
  </si>
  <si>
    <t>Миргород</t>
  </si>
  <si>
    <t>Мироновка</t>
  </si>
  <si>
    <t>Миусинск</t>
  </si>
  <si>
    <t>Могилев-Подольский</t>
  </si>
  <si>
    <t>Молодогвардейск</t>
  </si>
  <si>
    <t>Молочанск</t>
  </si>
  <si>
    <t>Монастыриска</t>
  </si>
  <si>
    <t>Монастырище</t>
  </si>
  <si>
    <t>Моршин</t>
  </si>
  <si>
    <t>Моспино</t>
  </si>
  <si>
    <t>Мостиска</t>
  </si>
  <si>
    <t>Мукачево</t>
  </si>
  <si>
    <t>Надворная</t>
  </si>
  <si>
    <t>Нежин</t>
  </si>
  <si>
    <t>Немиров</t>
  </si>
  <si>
    <t>Нетишин</t>
  </si>
  <si>
    <t>Николаев</t>
  </si>
  <si>
    <t>Никополь</t>
  </si>
  <si>
    <t>Новая Водолага</t>
  </si>
  <si>
    <t>Новая Каховка</t>
  </si>
  <si>
    <t>Новая Одесса</t>
  </si>
  <si>
    <t>Новгород-Северский</t>
  </si>
  <si>
    <t>Новоазовск</t>
  </si>
  <si>
    <t>Нововолынск</t>
  </si>
  <si>
    <t>Новоград-Волынский</t>
  </si>
  <si>
    <t>Новогродовка</t>
  </si>
  <si>
    <t>Новоднестровск</t>
  </si>
  <si>
    <t>Новодружеск</t>
  </si>
  <si>
    <t>Новомиргород</t>
  </si>
  <si>
    <t>Новомосковск</t>
  </si>
  <si>
    <t>Новоселица</t>
  </si>
  <si>
    <t>Новоукраинка</t>
  </si>
  <si>
    <t>Новояворовск</t>
  </si>
  <si>
    <t>Новый Буг</t>
  </si>
  <si>
    <t>Новый Роздол</t>
  </si>
  <si>
    <t>Носовка</t>
  </si>
  <si>
    <t>Обухов</t>
  </si>
  <si>
    <t>Овруч</t>
  </si>
  <si>
    <t>Одесса</t>
  </si>
  <si>
    <t>Орджоникидзе</t>
  </si>
  <si>
    <t>Орехов</t>
  </si>
  <si>
    <t>Остер</t>
  </si>
  <si>
    <t>Острог</t>
  </si>
  <si>
    <t>Очаков</t>
  </si>
  <si>
    <t>Павлоград</t>
  </si>
  <si>
    <t>Первомайск</t>
  </si>
  <si>
    <t>Первомайский</t>
  </si>
  <si>
    <t>Перевальск</t>
  </si>
  <si>
    <t>Перемышляны</t>
  </si>
  <si>
    <t>Переяслав-Хмельницкий</t>
  </si>
  <si>
    <t>Першотравенск</t>
  </si>
  <si>
    <t>Песочин</t>
  </si>
  <si>
    <t>Петровское</t>
  </si>
  <si>
    <t>Пивденное</t>
  </si>
  <si>
    <t>Пирятин</t>
  </si>
  <si>
    <t>Погребище</t>
  </si>
  <si>
    <t>Подгайцы</t>
  </si>
  <si>
    <t>Подгородное</t>
  </si>
  <si>
    <t>Покотиловка</t>
  </si>
  <si>
    <t>Пологи</t>
  </si>
  <si>
    <t>Полонное</t>
  </si>
  <si>
    <t>Помошная</t>
  </si>
  <si>
    <t>Попасная</t>
  </si>
  <si>
    <t>Почаев</t>
  </si>
  <si>
    <t>Приволье</t>
  </si>
  <si>
    <t>Прилуки</t>
  </si>
  <si>
    <t>Приморск</t>
  </si>
  <si>
    <t>Пустомыты</t>
  </si>
  <si>
    <t>Путивль</t>
  </si>
  <si>
    <t>Пятихатки</t>
  </si>
  <si>
    <t>Рава-Русская</t>
  </si>
  <si>
    <t>Радехов</t>
  </si>
  <si>
    <t>Радомышль</t>
  </si>
  <si>
    <t>Радывылив</t>
  </si>
  <si>
    <t>Раздельная</t>
  </si>
  <si>
    <t>Рахов</t>
  </si>
  <si>
    <t>Рени</t>
  </si>
  <si>
    <t>Ржищев</t>
  </si>
  <si>
    <t>Ровеньки</t>
  </si>
  <si>
    <t>Ровно</t>
  </si>
  <si>
    <t>Рогатин</t>
  </si>
  <si>
    <t>Родинское</t>
  </si>
  <si>
    <t>Рожище</t>
  </si>
  <si>
    <t>Ромны</t>
  </si>
  <si>
    <t>Рубежное</t>
  </si>
  <si>
    <t>Рудки</t>
  </si>
  <si>
    <t>Саки</t>
  </si>
  <si>
    <t>Самбор</t>
  </si>
  <si>
    <t>Сарны</t>
  </si>
  <si>
    <t>Свалява</t>
  </si>
  <si>
    <t>Сватово</t>
  </si>
  <si>
    <t>Свердловск</t>
  </si>
  <si>
    <t>Светловодск</t>
  </si>
  <si>
    <t>Светлодарск</t>
  </si>
  <si>
    <t>Северодонецк</t>
  </si>
  <si>
    <t>Северск</t>
  </si>
  <si>
    <t>Селидово</t>
  </si>
  <si>
    <t>Семеновка</t>
  </si>
  <si>
    <t>Середина-Буда</t>
  </si>
  <si>
    <t>Синельниково</t>
  </si>
  <si>
    <t>Скадовск</t>
  </si>
  <si>
    <t>Скалат</t>
  </si>
  <si>
    <t>Сквира</t>
  </si>
  <si>
    <t>Сколе</t>
  </si>
  <si>
    <t>Славута</t>
  </si>
  <si>
    <t>Славутич</t>
  </si>
  <si>
    <t>Славяногорск</t>
  </si>
  <si>
    <t>Славянск</t>
  </si>
  <si>
    <t>Смела</t>
  </si>
  <si>
    <t>Снежное</t>
  </si>
  <si>
    <t>Снигиревка</t>
  </si>
  <si>
    <t>Снятин</t>
  </si>
  <si>
    <t>Сокаль</t>
  </si>
  <si>
    <t>Сокиряны</t>
  </si>
  <si>
    <t>Соледар</t>
  </si>
  <si>
    <t>Солоницевка</t>
  </si>
  <si>
    <t>Сосновка</t>
  </si>
  <si>
    <t>Старобельск</t>
  </si>
  <si>
    <t>Староконстантинов</t>
  </si>
  <si>
    <t>Старый Крым</t>
  </si>
  <si>
    <t>Старый Самбор</t>
  </si>
  <si>
    <t>Стаханов</t>
  </si>
  <si>
    <t>Стебник</t>
  </si>
  <si>
    <t>Сторожинец</t>
  </si>
  <si>
    <t>Стрый</t>
  </si>
  <si>
    <t>Судак</t>
  </si>
  <si>
    <t>Судовая вишня</t>
  </si>
  <si>
    <t>Сумы</t>
  </si>
  <si>
    <t>Суходольск</t>
  </si>
  <si>
    <t>* Рейтингові бали (120/к), де К - кількість команд від країни, що беруть участь у "пулі"</t>
  </si>
  <si>
    <t>Счастье</t>
  </si>
  <si>
    <t>Таврийск</t>
  </si>
  <si>
    <t>Тальное</t>
  </si>
  <si>
    <t>Тараща</t>
  </si>
  <si>
    <t>Татарбунары</t>
  </si>
  <si>
    <t>Теплогорск</t>
  </si>
  <si>
    <t>Теплодар</t>
  </si>
  <si>
    <t>Теребовля</t>
  </si>
  <si>
    <t>Терновка</t>
  </si>
  <si>
    <t>Тернополь</t>
  </si>
  <si>
    <t>Тетиев</t>
  </si>
  <si>
    <t>Тисменница</t>
  </si>
  <si>
    <t>Тлумач</t>
  </si>
  <si>
    <t>Токмак</t>
  </si>
  <si>
    <t>Торез</t>
  </si>
  <si>
    <t>Тростянец</t>
  </si>
  <si>
    <t>Трускавец</t>
  </si>
  <si>
    <t>Тульчин</t>
  </si>
  <si>
    <t>Турка</t>
  </si>
  <si>
    <t>Тячев</t>
  </si>
  <si>
    <t>Фастов</t>
  </si>
  <si>
    <t>Феодосия</t>
  </si>
  <si>
    <t>Харцызск</t>
  </si>
  <si>
    <t>Харьков</t>
  </si>
  <si>
    <t>Хирев</t>
  </si>
  <si>
    <t>Хмельник</t>
  </si>
  <si>
    <t>Хмельницкий</t>
  </si>
  <si>
    <t>Ходоров</t>
  </si>
  <si>
    <t>Хорол</t>
  </si>
  <si>
    <t>Хоростков</t>
  </si>
  <si>
    <t>Хотин</t>
  </si>
  <si>
    <t>Христиновка</t>
  </si>
  <si>
    <t>Хуст</t>
  </si>
  <si>
    <t>Цюрупинск</t>
  </si>
  <si>
    <t>Часов Яр</t>
  </si>
  <si>
    <t>Червоноград</t>
  </si>
  <si>
    <t>Червонозаводское</t>
  </si>
  <si>
    <t>Червонопартизанск</t>
  </si>
  <si>
    <t>Черкассы</t>
  </si>
  <si>
    <t>Чернигов</t>
  </si>
  <si>
    <t>Черновцы</t>
  </si>
  <si>
    <t>Чигирин</t>
  </si>
  <si>
    <t>Чоп</t>
  </si>
  <si>
    <t>Чортков</t>
  </si>
  <si>
    <t>Чугуев</t>
  </si>
  <si>
    <t>Шаргород</t>
  </si>
  <si>
    <t>Шахтерск</t>
  </si>
  <si>
    <t>Шепетовка</t>
  </si>
  <si>
    <t>Шостка</t>
  </si>
  <si>
    <t>Шпола</t>
  </si>
  <si>
    <t>Щелкино</t>
  </si>
  <si>
    <t>Щорс</t>
  </si>
  <si>
    <t>Энергодар</t>
  </si>
  <si>
    <t>Южноукраинск</t>
  </si>
  <si>
    <t>Южный</t>
  </si>
  <si>
    <t>Юнокоммунаровск</t>
  </si>
  <si>
    <t>Яворов</t>
  </si>
  <si>
    <t>Яготин</t>
  </si>
  <si>
    <t>Ялта</t>
  </si>
  <si>
    <t>Ямполь</t>
  </si>
  <si>
    <t>Яремча</t>
  </si>
  <si>
    <t>Ясиноватая</t>
  </si>
  <si>
    <t>По населению</t>
  </si>
  <si>
    <t>По алфавиту</t>
  </si>
  <si>
    <t>По регионам (областям)</t>
  </si>
  <si>
    <t>Учасник</t>
  </si>
  <si>
    <t>Ні</t>
  </si>
  <si>
    <t>Учасник/не учасник</t>
  </si>
  <si>
    <t>НІ</t>
  </si>
  <si>
    <t>АР Крим</t>
  </si>
  <si>
    <t>Кегичевка</t>
  </si>
  <si>
    <t>Сахновщина</t>
  </si>
  <si>
    <t>Зачепиловка</t>
  </si>
  <si>
    <t>2 кошик</t>
  </si>
  <si>
    <t>не беруть участь обласні центри і 25 міст - необласних центрів, що йдуть за рейтингом</t>
  </si>
  <si>
    <t>Країна</t>
  </si>
  <si>
    <t>Організація</t>
  </si>
  <si>
    <t>Балаклія (Харківська обл)</t>
  </si>
  <si>
    <t>Павлоград (Дніпропетрівська)</t>
  </si>
  <si>
    <t>Охтирка (Сумська обл)</t>
  </si>
  <si>
    <t>Новомосковськ (Дніпропетрівська)</t>
  </si>
  <si>
    <t>Коломия</t>
  </si>
  <si>
    <t>Полтавська</t>
  </si>
  <si>
    <t>Чернігівська</t>
  </si>
  <si>
    <t>Красноперекопськ (АРК)</t>
  </si>
  <si>
    <t>Чехія</t>
  </si>
  <si>
    <t>Росія</t>
  </si>
  <si>
    <t>Польща</t>
  </si>
  <si>
    <t>1 пропуск (мінус 10сек)</t>
  </si>
  <si>
    <t>Кількість пропущених фішок в 10-ти сек . зону</t>
  </si>
  <si>
    <t>Німеччина</t>
  </si>
  <si>
    <t>Україна</t>
  </si>
  <si>
    <t>Прикарпатські будівельники</t>
  </si>
  <si>
    <t>Румунія</t>
  </si>
  <si>
    <t>Словаччина</t>
  </si>
  <si>
    <t>Кількість представників</t>
  </si>
  <si>
    <t>Словенія</t>
  </si>
  <si>
    <t>Італія</t>
  </si>
  <si>
    <t>Сербія</t>
  </si>
  <si>
    <t>Голандія</t>
  </si>
  <si>
    <t>Швеція</t>
  </si>
  <si>
    <t>В кваліфікаційний раунд</t>
  </si>
  <si>
    <t>До 2-го раунду:</t>
  </si>
  <si>
    <t>8 переможців</t>
  </si>
  <si>
    <t xml:space="preserve"> + 5 кращих за часом</t>
  </si>
  <si>
    <t>8 забігів по 8 учасників (64)</t>
  </si>
  <si>
    <t>7 забігів по 8 учасників (56)</t>
  </si>
  <si>
    <t>7 переможців</t>
  </si>
  <si>
    <t>В 2-ий попередній раунд</t>
  </si>
  <si>
    <t>В 1-ий попередній рануд</t>
  </si>
  <si>
    <t>Разом</t>
  </si>
  <si>
    <t>В фінальний раунд:</t>
  </si>
  <si>
    <t>З попереднього раунду</t>
  </si>
  <si>
    <t>Бали</t>
  </si>
  <si>
    <t>До наступного раунду - переможці забігів і 5 кращих за часом</t>
  </si>
  <si>
    <t>Історія проведення змагань (чоловіки 10 км)</t>
  </si>
  <si>
    <t>ПЕРЕМОЖЦІ</t>
  </si>
  <si>
    <t>Дата (ч/м/рік)</t>
  </si>
  <si>
    <t>Темература по Цельсію, швидкість вітру</t>
  </si>
  <si>
    <t xml:space="preserve">Країна </t>
  </si>
  <si>
    <t>Місто</t>
  </si>
  <si>
    <t>І. Прізвище (вік)</t>
  </si>
  <si>
    <t>Країна і організація, що представляв</t>
  </si>
  <si>
    <t>Час виконання</t>
  </si>
  <si>
    <t>+12; 5 м/с</t>
  </si>
  <si>
    <t>Угорщина</t>
  </si>
  <si>
    <t>Будапешт</t>
  </si>
  <si>
    <t>Філіппо Гальцані (27)</t>
  </si>
  <si>
    <t>Італія (Адріатика-54)</t>
  </si>
  <si>
    <t>+14, 7 м/с</t>
  </si>
  <si>
    <t>Франція</t>
  </si>
  <si>
    <t>Марсель</t>
  </si>
  <si>
    <t>Третій кваліфікаційний раунд</t>
  </si>
  <si>
    <t>До наступного раунду (пул) - переможці забігів і 1 краща за часом</t>
  </si>
  <si>
    <t>Список Учасників</t>
  </si>
  <si>
    <t>Кошик</t>
  </si>
  <si>
    <t>Четвертий кваліфікаційний раунд</t>
  </si>
  <si>
    <t>РАУНД ПУЛ. 96 команд (48 пар). Естафета проводиться за кубковою системою (4*3200м на траві)</t>
  </si>
  <si>
    <t>До наступного раунду - переможці пулів</t>
  </si>
  <si>
    <t>№ країни при жеребкуванні</t>
  </si>
  <si>
    <t>Перше місце з країни</t>
  </si>
  <si>
    <t>Друге місце з країни</t>
  </si>
  <si>
    <t>Третє місце з країни</t>
  </si>
  <si>
    <t>Із одної зустрічі. Перші команди - господарі</t>
  </si>
  <si>
    <t>Команда 1</t>
  </si>
  <si>
    <t>Команда 2</t>
  </si>
  <si>
    <t>Рахунок</t>
  </si>
  <si>
    <t>Кількість глядачів</t>
  </si>
  <si>
    <t xml:space="preserve">№ в рейтингу </t>
  </si>
  <si>
    <t>Франко Грагулі (27)</t>
  </si>
  <si>
    <t>Франція (Марсиєлле-неу)</t>
  </si>
  <si>
    <t>+8, 6 м/с</t>
  </si>
  <si>
    <t>Норвегія</t>
  </si>
  <si>
    <t>Осло</t>
  </si>
  <si>
    <t>Олі Вахінен (27)</t>
  </si>
  <si>
    <t>Фінляндія (Локіа)</t>
  </si>
  <si>
    <t>+10, 4 м/с</t>
  </si>
  <si>
    <t>Португалія</t>
  </si>
  <si>
    <t>Порту</t>
  </si>
  <si>
    <t>Франко Байхланд (24)</t>
  </si>
  <si>
    <t>Німеччина (Вусфельд)</t>
  </si>
  <si>
    <t>+25, 4 м/с</t>
  </si>
  <si>
    <t>Югославія</t>
  </si>
  <si>
    <t>Белград</t>
  </si>
  <si>
    <t>Младен Сертіч (24)</t>
  </si>
  <si>
    <t>Югославія (ДП "Устрой")</t>
  </si>
  <si>
    <t>+23, 7 м/с</t>
  </si>
  <si>
    <t>Греція</t>
  </si>
  <si>
    <t>Афіни</t>
  </si>
  <si>
    <t>Карел Ховашка (26)</t>
  </si>
  <si>
    <t>Младек - Чехословаччина</t>
  </si>
  <si>
    <t>+26, 6 м/с</t>
  </si>
  <si>
    <t>Юрій Пшельніков (28)</t>
  </si>
  <si>
    <t>СРСР (ДП "Москва строительная")</t>
  </si>
  <si>
    <t>+14, 3 м/с</t>
  </si>
  <si>
    <t>СРСР</t>
  </si>
  <si>
    <t>Кристиан Анжелов (32)</t>
  </si>
  <si>
    <t>Болгарія (Софієска джавна)</t>
  </si>
  <si>
    <t>+15, 4 м/с</t>
  </si>
  <si>
    <t>Польша</t>
  </si>
  <si>
    <t>Краков</t>
  </si>
  <si>
    <t>Кристиан Анжелов (33)</t>
  </si>
  <si>
    <t>+17, 4 м/с</t>
  </si>
  <si>
    <t>Австрія</t>
  </si>
  <si>
    <t>Відень</t>
  </si>
  <si>
    <t>Штефан Кройтер (28)</t>
  </si>
  <si>
    <t>Люксембург (Ексаелла)</t>
  </si>
  <si>
    <t>+12, 6 м/с</t>
  </si>
  <si>
    <t>Ірландія</t>
  </si>
  <si>
    <t>Корк</t>
  </si>
  <si>
    <t>Хуліан Крешо (28)</t>
  </si>
  <si>
    <t>Іспанія (Рагамелла)</t>
  </si>
  <si>
    <t>+29, 5 м/с</t>
  </si>
  <si>
    <t>Монако</t>
  </si>
  <si>
    <t>Олексій Варловіч (24)</t>
  </si>
  <si>
    <t>СРСР (Новий Мінськ)</t>
  </si>
  <si>
    <t>+28, 4 м/с</t>
  </si>
  <si>
    <t>Лісабон</t>
  </si>
  <si>
    <t>Хуліан Крешо (30)</t>
  </si>
  <si>
    <t>+25, 3 м/с</t>
  </si>
  <si>
    <t>Флоренція</t>
  </si>
  <si>
    <t>Маскане Рауль (25)</t>
  </si>
  <si>
    <t>Андорра (Ла-Стига)</t>
  </si>
  <si>
    <t>+20, 6 м/с</t>
  </si>
  <si>
    <t>Іспанія</t>
  </si>
  <si>
    <t>Мадрид</t>
  </si>
  <si>
    <t>Тигран Абоварян (27)</t>
  </si>
  <si>
    <t>СРСР (ДП "Єреван-Прогрес")</t>
  </si>
  <si>
    <t>Гданськ</t>
  </si>
  <si>
    <t>Мацек Бронаківський (24)</t>
  </si>
  <si>
    <t>Польша (Кораблево)</t>
  </si>
  <si>
    <t>Дебрецен</t>
  </si>
  <si>
    <t>Марко Вадучіч (25)</t>
  </si>
  <si>
    <t>+20, 4 м/с</t>
  </si>
  <si>
    <t>Бухарест</t>
  </si>
  <si>
    <t>Ференц Лотман (27)</t>
  </si>
  <si>
    <t>Угорщина (Будапешті)</t>
  </si>
  <si>
    <t>+15, 3 м/с</t>
  </si>
  <si>
    <t>Швейцарія</t>
  </si>
  <si>
    <t>Лозанна</t>
  </si>
  <si>
    <t>Філіп Телкер (28)</t>
  </si>
  <si>
    <t>Бельгія (Утерата)</t>
  </si>
  <si>
    <t>+24, 4 м/с</t>
  </si>
  <si>
    <t>Болгарія</t>
  </si>
  <si>
    <t>Софія</t>
  </si>
  <si>
    <t>Роберт Ван Хойланд (25)</t>
  </si>
  <si>
    <t>Голандія (Амстердам-СВТ)</t>
  </si>
  <si>
    <t>+16, 5 м/с</t>
  </si>
  <si>
    <t>Пловдив</t>
  </si>
  <si>
    <t>Жерар Рор (26)</t>
  </si>
  <si>
    <t>Франція (Радіотехнічний центр "Прьог")</t>
  </si>
  <si>
    <t>+12, 3 м/с</t>
  </si>
  <si>
    <t>Данія</t>
  </si>
  <si>
    <t>Копенгаген</t>
  </si>
  <si>
    <t>Жерар Рор (27)</t>
  </si>
  <si>
    <t>+15, 5 м/с</t>
  </si>
  <si>
    <t>Тулуза</t>
  </si>
  <si>
    <t>Жерар Рор (28)</t>
  </si>
  <si>
    <t>+21, 7 м/с</t>
  </si>
  <si>
    <t>Валенсія</t>
  </si>
  <si>
    <t>Жерар Рор (29)</t>
  </si>
  <si>
    <t>+11, 6 м/с</t>
  </si>
  <si>
    <t>Стокгольм</t>
  </si>
  <si>
    <t>Бодевен Ван Куйтер (24)</t>
  </si>
  <si>
    <t>Голандія (Архен)</t>
  </si>
  <si>
    <t>Турін</t>
  </si>
  <si>
    <t>Бодевен Ван Куйтер (25)</t>
  </si>
  <si>
    <t>+18, 3 м/с</t>
  </si>
  <si>
    <t>Рим</t>
  </si>
  <si>
    <t>Анжело де Алессіні (28)</t>
  </si>
  <si>
    <t>Італія (Рома Бурно Кастелла)</t>
  </si>
  <si>
    <t>+14, 4 м/с</t>
  </si>
  <si>
    <t>Алессандро Томачеллі (27)</t>
  </si>
  <si>
    <t>Італія (Емполібуга)</t>
  </si>
  <si>
    <t>+14, 2 м/с</t>
  </si>
  <si>
    <t>Амстердам</t>
  </si>
  <si>
    <t>Вальтер Касса (26)</t>
  </si>
  <si>
    <t>Австрія (ВСТ-Грацер)</t>
  </si>
  <si>
    <t>+17, 3 м/с</t>
  </si>
  <si>
    <t>Дортмунд</t>
  </si>
  <si>
    <t>Марек Біліковський (28)</t>
  </si>
  <si>
    <t>Польша (Варшава-Лод)</t>
  </si>
  <si>
    <t>Грац</t>
  </si>
  <si>
    <t>Димитар Свічко (29)</t>
  </si>
  <si>
    <t>Болгарія (Чорноморська будича)</t>
  </si>
  <si>
    <t>+12, 7 м/с</t>
  </si>
  <si>
    <t>Женева</t>
  </si>
  <si>
    <t>Горан Градкуліновіч (28)</t>
  </si>
  <si>
    <t>Сербія і Чорногорія (Морьєска)</t>
  </si>
  <si>
    <t>+21, 6 м/с</t>
  </si>
  <si>
    <t>Маріс Пальчус (24)</t>
  </si>
  <si>
    <t>Латвія (Рига-плав)</t>
  </si>
  <si>
    <t>+20, 5 м/с</t>
  </si>
  <si>
    <t>Любляна</t>
  </si>
  <si>
    <t>Янус Карідіс (25)</t>
  </si>
  <si>
    <t>Греція (Лі-Альвія)</t>
  </si>
  <si>
    <t>Бордо</t>
  </si>
  <si>
    <t>Гуліс Штокладіс (28)</t>
  </si>
  <si>
    <t>Кіпр (Ваккара)</t>
  </si>
  <si>
    <t>Естонія</t>
  </si>
  <si>
    <t>Таллін</t>
  </si>
  <si>
    <t>Мірча Дубалеску (27)</t>
  </si>
  <si>
    <t>Румунія (Глорія +)</t>
  </si>
  <si>
    <t>Кіпр</t>
  </si>
  <si>
    <t>Нікосія</t>
  </si>
  <si>
    <t>Руд Майскар (28)</t>
  </si>
  <si>
    <t>Голандія (Янрейда)</t>
  </si>
  <si>
    <t>+12, 5 м/с</t>
  </si>
  <si>
    <t>Латвія</t>
  </si>
  <si>
    <t>Рига</t>
  </si>
  <si>
    <t>Маріуш Ляска (38)</t>
  </si>
  <si>
    <t>Польша (Астребек)</t>
  </si>
  <si>
    <t>Берлін</t>
  </si>
  <si>
    <t>Марко Грозденовіч (32)</t>
  </si>
  <si>
    <t>Боснія (СРК)</t>
  </si>
  <si>
    <t>+17, 2 м/с</t>
  </si>
  <si>
    <t>Генуя</t>
  </si>
  <si>
    <t>Мирослав Забара (26)</t>
  </si>
  <si>
    <t>Словаччина (Капушане-вок)</t>
  </si>
  <si>
    <t>+16, 4 м/с</t>
  </si>
  <si>
    <t>Бельгія</t>
  </si>
  <si>
    <t>Брюссель</t>
  </si>
  <si>
    <t>Ігор Кондратов (27)</t>
  </si>
  <si>
    <t>Росія (Сибирстрой)</t>
  </si>
  <si>
    <t>Мануель Портіго (27)</t>
  </si>
  <si>
    <t>Португалія (Фолентіне)</t>
  </si>
  <si>
    <t>+13, 5 м/с</t>
  </si>
  <si>
    <t>Хуан Ромарес (29)</t>
  </si>
  <si>
    <t>Іспанія (Хостінія)</t>
  </si>
  <si>
    <t>+13, 4 м/с</t>
  </si>
  <si>
    <t>Мюнхен</t>
  </si>
  <si>
    <t>Мирослав Забара (30)</t>
  </si>
  <si>
    <t>Дмитро Назарук (27)</t>
  </si>
  <si>
    <t>Україна (Донбасбуд)</t>
  </si>
  <si>
    <t>Фару</t>
  </si>
  <si>
    <t>Карел Радек (29)</t>
  </si>
  <si>
    <t>Чехія (Б-Стіла)</t>
  </si>
  <si>
    <t>+23, 4 м/с</t>
  </si>
  <si>
    <t>Маріо Сталанідо (29)</t>
  </si>
  <si>
    <t>Італія (Міланетті)</t>
  </si>
  <si>
    <t>(забіг по шосе)</t>
  </si>
  <si>
    <t>+26, 2 м/с</t>
  </si>
  <si>
    <t>Марко Грозденовіч (39)</t>
  </si>
  <si>
    <t>+19, 3 м/с</t>
  </si>
  <si>
    <t>Дублін</t>
  </si>
  <si>
    <t>Карел Глайзек (28)</t>
  </si>
  <si>
    <t>Чехія (Сосновець)</t>
  </si>
  <si>
    <t>+11, 2 м/с</t>
  </si>
  <si>
    <t>Братислава</t>
  </si>
  <si>
    <t>Хаві Роже Постулагі Ферро (33)</t>
  </si>
  <si>
    <t>Іспанія (Кампіонери)</t>
  </si>
  <si>
    <t>Львів</t>
  </si>
  <si>
    <t>Марек Оценківський (30)</t>
  </si>
  <si>
    <t>Польша (Радек Нова)</t>
  </si>
  <si>
    <t>(забіг по парку)</t>
  </si>
  <si>
    <t>+ 5, 2 м/с</t>
  </si>
  <si>
    <t>Марко Ракідіч (26)</t>
  </si>
  <si>
    <t>Чорногорія (Мраво)</t>
  </si>
  <si>
    <t>Вересень</t>
  </si>
  <si>
    <t>Барселона</t>
  </si>
  <si>
    <t xml:space="preserve">Квітень </t>
  </si>
  <si>
    <t>Боснія</t>
  </si>
  <si>
    <t>Сараєво</t>
  </si>
  <si>
    <t>Листопад</t>
  </si>
  <si>
    <t>Брага</t>
  </si>
  <si>
    <t>Жовтень</t>
  </si>
  <si>
    <t>Серпень</t>
  </si>
  <si>
    <t>Мілан</t>
  </si>
  <si>
    <t>Неаполь</t>
  </si>
  <si>
    <t>Прага</t>
  </si>
  <si>
    <t>Час</t>
  </si>
  <si>
    <t>Історія проведення змагань (жінки 10 км)</t>
  </si>
  <si>
    <t>Аналогічні забіги серед жінок проводять з 2001 року. Вік - від 23 років</t>
  </si>
  <si>
    <t>Агата Мерглер (25)</t>
  </si>
  <si>
    <t>Німеччина (Гамбургштадер)</t>
  </si>
  <si>
    <t>Оксана Драголевич (28)</t>
  </si>
  <si>
    <t>Белорусія (Гомель - МРТЗ)</t>
  </si>
  <si>
    <t>Радослава Мурашек (26)</t>
  </si>
  <si>
    <t>Словаччина (Славесті)</t>
  </si>
  <si>
    <t>Альона Папрікова (25)</t>
  </si>
  <si>
    <t>Росія (Арбатстрой)</t>
  </si>
  <si>
    <t>Ярослава Волковська (37)</t>
  </si>
  <si>
    <t>Польща (ГРСК-Море)</t>
  </si>
  <si>
    <t>Анжеліка Розумківська (31)</t>
  </si>
  <si>
    <t>Польща (Червоні Дзвенькі)</t>
  </si>
  <si>
    <t>Млада  Стоянковіч (30)</t>
  </si>
  <si>
    <t>Словенія (Інтерстрейк)</t>
  </si>
  <si>
    <t>Ганна Столярова (25)</t>
  </si>
  <si>
    <t>Україна (Житлобуд)</t>
  </si>
  <si>
    <t>Олена Осіпова (29)</t>
  </si>
  <si>
    <t>Росія (Волгоград-строй)</t>
  </si>
  <si>
    <t>Юлія Поліщук (28)</t>
  </si>
  <si>
    <t>Марія Лайзнер (29)</t>
  </si>
  <si>
    <t>Чехія (Пражськує)</t>
  </si>
  <si>
    <t>Мирослава Єжич (25)</t>
  </si>
  <si>
    <t>Польща (Лод ЗТА)</t>
  </si>
  <si>
    <t>З 1960 року почали проводитися змагання серед технічних і будівельних організацій. Основними умовами були - вік понад 23 р., і до змагань учасник не повинен був брати участі в олімпійських іграх, і на будь-яких змаганнях міжнаціонального рівня з будь-якого виду спорту. Проводилися на олімпійських стадіонах (25 кругів по 400 метрів). З  1995 року вік був збільшений до 26 років, а також обмеження про витсупи на змаганнях будь-якого рівня серед професіоналів.</t>
  </si>
  <si>
    <t>Історія проведення змагань (естафета 3км по 4, чоловіки)</t>
  </si>
  <si>
    <t>Місце проведення</t>
  </si>
  <si>
    <t>1-е місце</t>
  </si>
  <si>
    <t>2-е місце</t>
  </si>
  <si>
    <t>3-е місце</t>
  </si>
  <si>
    <t>Чехословаччина</t>
  </si>
  <si>
    <t>Варшава</t>
  </si>
  <si>
    <t>Великобританія</t>
  </si>
  <si>
    <t>Манчестер</t>
  </si>
  <si>
    <t>Ла-Корунья</t>
  </si>
  <si>
    <t>Бремен</t>
  </si>
  <si>
    <t>Енсхеде</t>
  </si>
  <si>
    <t>Ташкент</t>
  </si>
  <si>
    <t>Москва</t>
  </si>
  <si>
    <t>Керкраде</t>
  </si>
  <si>
    <t>Лілль</t>
  </si>
  <si>
    <t>Гамбург</t>
  </si>
  <si>
    <t>Париж</t>
  </si>
  <si>
    <t>Ларнака</t>
  </si>
  <si>
    <t>Наполі</t>
  </si>
  <si>
    <t>Тронхейм</t>
  </si>
  <si>
    <t>Лондон</t>
  </si>
  <si>
    <t>Глазго</t>
  </si>
  <si>
    <t>Сарагоса</t>
  </si>
  <si>
    <t>Віго</t>
  </si>
  <si>
    <t>Бірмінгем</t>
  </si>
  <si>
    <t>Донецьк</t>
  </si>
  <si>
    <t>Краків</t>
  </si>
  <si>
    <t>Тренер</t>
  </si>
  <si>
    <t>Дзужеппе Франчіні (1965)</t>
  </si>
  <si>
    <t>Хав'єр Гонсало Сегунда (1970)</t>
  </si>
  <si>
    <t>Вротислав Томашек (1956)</t>
  </si>
  <si>
    <t>Мігель Пластелла (1960)</t>
  </si>
  <si>
    <t>Яцек Галашинський (1961)</t>
  </si>
  <si>
    <t>Мірослав Петков (1950)</t>
  </si>
  <si>
    <t>Іржі Новлерц (1945)</t>
  </si>
  <si>
    <t>Ростислав Борно (1960)</t>
  </si>
  <si>
    <t>Карел Стуляновський (1980)</t>
  </si>
  <si>
    <t>Ван Дер Бюрген (1960)</t>
  </si>
  <si>
    <t>Отто Грамер (1979)</t>
  </si>
  <si>
    <t>Обласний пул №10</t>
  </si>
  <si>
    <t>Полтавська область</t>
  </si>
  <si>
    <t>Харківська область</t>
  </si>
  <si>
    <t>Кременчук</t>
  </si>
  <si>
    <t>Лубни</t>
  </si>
  <si>
    <t>Комсомольськ</t>
  </si>
  <si>
    <t>Карлівка</t>
  </si>
  <si>
    <t>Лохвиця</t>
  </si>
  <si>
    <t>Глобіно</t>
  </si>
  <si>
    <t>Ізюм</t>
  </si>
  <si>
    <t>Чугуїв</t>
  </si>
  <si>
    <t>Куп'янськ</t>
  </si>
  <si>
    <t>Вовчанськ</t>
  </si>
  <si>
    <t>Богодухів</t>
  </si>
  <si>
    <t>Зміїв</t>
  </si>
  <si>
    <t>Нова Водолага</t>
  </si>
  <si>
    <t>Барвінкове</t>
  </si>
  <si>
    <t>Золочів</t>
  </si>
  <si>
    <t>Кегичівка</t>
  </si>
  <si>
    <t>Зачепилівка</t>
  </si>
  <si>
    <t>Місто Полтава</t>
  </si>
  <si>
    <t>№</t>
  </si>
  <si>
    <t>№ екіпір</t>
  </si>
  <si>
    <t>№ вибігу</t>
  </si>
  <si>
    <t>Р. н.</t>
  </si>
  <si>
    <t>Загальний час</t>
  </si>
  <si>
    <t>Лозова (Харківська)</t>
  </si>
  <si>
    <t>Радослав Кожич (1960)</t>
  </si>
  <si>
    <t>Карел Радужський (1970)</t>
  </si>
  <si>
    <t>Фернандо Гарсело (1950)</t>
  </si>
  <si>
    <t>Алекс Блайжер (1966)</t>
  </si>
  <si>
    <t>Зоран Акленіч (1957)</t>
  </si>
  <si>
    <t>Фредеріко Марчінтіні (1970)</t>
  </si>
  <si>
    <t>Олексій Макаренко (1951)</t>
  </si>
  <si>
    <t>Зденек Віскольн (1970)</t>
  </si>
  <si>
    <t>Карел Случек (1950)</t>
  </si>
  <si>
    <t>Олег Валонов (1960)</t>
  </si>
  <si>
    <t>Фабіо Парлесіо (1940)</t>
  </si>
  <si>
    <t>Сержіо Камласа (1959)</t>
  </si>
  <si>
    <t>І.П.рік нар.</t>
  </si>
  <si>
    <t>Коломийські робітники</t>
  </si>
  <si>
    <t>Володимир Поштаренко (1982)</t>
  </si>
  <si>
    <t>Донбасбуд</t>
  </si>
  <si>
    <t>Олег Крамарук (1981)</t>
  </si>
  <si>
    <t>Житлобуд - Харків</t>
  </si>
  <si>
    <t>Віталій Галагуша (1986)</t>
  </si>
  <si>
    <t>Антон Миролюбов (1986)</t>
  </si>
  <si>
    <t>Київміськбуд</t>
  </si>
  <si>
    <t>Віктор Трофченко (1985)</t>
  </si>
  <si>
    <t>Ілля Пригожаєв (1986)</t>
  </si>
  <si>
    <t>Євген Свєтлік (1987)</t>
  </si>
  <si>
    <t>Дніпробуд</t>
  </si>
  <si>
    <t>Валерій Морозюк (1986)</t>
  </si>
  <si>
    <t>Будівельна Вінничина</t>
  </si>
  <si>
    <t>Геннадій Зойченко (1986)</t>
  </si>
  <si>
    <t>Закарпатський Будівельник</t>
  </si>
  <si>
    <t>Верес</t>
  </si>
  <si>
    <t>Кремінь</t>
  </si>
  <si>
    <t>Олег Вязенко (1984)</t>
  </si>
  <si>
    <t>Віктор Арнаумов (1985)</t>
  </si>
  <si>
    <t>П'ятий кваліфікаційний раунд</t>
  </si>
  <si>
    <t>За системою 3км*4. 6 забігів по 8 учасників.</t>
  </si>
  <si>
    <t>До наступного раунду - переможці забігів і 2 кращих за часом</t>
  </si>
  <si>
    <t>Теремківський завод</t>
  </si>
  <si>
    <t>Віктор Наливайко (1982)</t>
  </si>
  <si>
    <t>Торез-вуголь</t>
  </si>
  <si>
    <t>Олег Кошарський (1985)</t>
  </si>
  <si>
    <t>Дергачівський завод турбокомпресорів</t>
  </si>
  <si>
    <t>Сергій Ковшаренко (1985)</t>
  </si>
  <si>
    <t>Чорноморські працівники</t>
  </si>
  <si>
    <t>Андрій Павлук (1985)</t>
  </si>
  <si>
    <t>Олег Зебра (1983)</t>
  </si>
  <si>
    <t>Львівський Будівельник</t>
  </si>
  <si>
    <t>Олег Примаков (1985)</t>
  </si>
  <si>
    <t>Деніс Скадовський (1985)</t>
  </si>
  <si>
    <t>Савелій Шовкопляс (1986)</t>
  </si>
  <si>
    <t>Будівельна Вінниччина</t>
  </si>
  <si>
    <t>Олег Голоденко (1980)</t>
  </si>
  <si>
    <t>Володимир Заринський (1986)</t>
  </si>
  <si>
    <t>Володимир Зінькович (1986)</t>
  </si>
  <si>
    <t>Шебелінка - Газдобування</t>
  </si>
  <si>
    <t>Євген Нехода (1984)</t>
  </si>
  <si>
    <t>Олександр Дробний (1986)</t>
  </si>
  <si>
    <t>Петро Гопак (1983)</t>
  </si>
  <si>
    <t>Андрій Іванківський (1985)</t>
  </si>
  <si>
    <t>Кримтеплиця</t>
  </si>
  <si>
    <t>Пилип Гулак (1986)</t>
  </si>
  <si>
    <t>2-е місце, місто, область</t>
  </si>
  <si>
    <t>Потрапляння в 10-ти сек . зону</t>
  </si>
  <si>
    <t>1 потрапляння (мінус 10сек)</t>
  </si>
  <si>
    <t>Харківська</t>
  </si>
  <si>
    <t>Запорізька</t>
  </si>
  <si>
    <t>Одеська</t>
  </si>
  <si>
    <t>Сарни</t>
  </si>
  <si>
    <t>Рівненська</t>
  </si>
  <si>
    <t>Україна + 1 місце</t>
  </si>
  <si>
    <t>Туреччина</t>
  </si>
  <si>
    <t>Хорватія</t>
  </si>
  <si>
    <t xml:space="preserve">Литва </t>
  </si>
  <si>
    <t>Чорногорія</t>
  </si>
  <si>
    <t>Білорусія</t>
  </si>
  <si>
    <t>Македонія</t>
  </si>
  <si>
    <t>Албанія</t>
  </si>
  <si>
    <t>Молдова</t>
  </si>
  <si>
    <t>Фінляндія</t>
  </si>
  <si>
    <t>Вірменія</t>
  </si>
  <si>
    <t>Грузія</t>
  </si>
  <si>
    <t>Ісландія</t>
  </si>
  <si>
    <t>Мальта</t>
  </si>
  <si>
    <t>Ізраїль</t>
  </si>
  <si>
    <t>Азербайджан</t>
  </si>
  <si>
    <t>Фарери</t>
  </si>
  <si>
    <t>Люксембург</t>
  </si>
  <si>
    <t>Ліхтенштейн</t>
  </si>
  <si>
    <t>Сан-Маріно</t>
  </si>
  <si>
    <t>Андорра</t>
  </si>
  <si>
    <t>З кваліфікаційного раунду до фінального - першi сiм учасника</t>
  </si>
  <si>
    <t>(+1) в фiн раундi</t>
  </si>
  <si>
    <t>(+2) господаря</t>
  </si>
  <si>
    <t>2 забігів по 8 учасників. Одеса. Стадіон "Спартак"</t>
  </si>
  <si>
    <t>В кваліфікаційний раунд (Cараєво)</t>
  </si>
  <si>
    <t>З фінального раунду стартують:</t>
  </si>
  <si>
    <t>забіг здійснюється гуртом (одночасно)</t>
  </si>
  <si>
    <t>* час Київський</t>
  </si>
  <si>
    <t>ПЕРШИЙ ПОПЕРЕДНІЙ РАУНД</t>
  </si>
  <si>
    <t>(час - Київський)</t>
  </si>
  <si>
    <t>АРК</t>
  </si>
  <si>
    <t>Ізяслів</t>
  </si>
  <si>
    <t>Хмельницька</t>
  </si>
  <si>
    <t>Львівська</t>
  </si>
  <si>
    <t>Дніпродзержинськ (Дніпроп. обл)</t>
  </si>
  <si>
    <t>Кам'янець-Подільський (Хм. обл)</t>
  </si>
  <si>
    <t>Алушта (АРК)</t>
  </si>
  <si>
    <t>Ізяслів (Хмельницька)</t>
  </si>
  <si>
    <t>Добромиль (Львiвська обл)</t>
  </si>
  <si>
    <t>Жовтi Води (Дніпропетрівська)</t>
  </si>
  <si>
    <t>Дніпропетрiвська</t>
  </si>
  <si>
    <t>Лисичанськ (Луганська)</t>
  </si>
  <si>
    <t>Бородянка (Київська)</t>
  </si>
  <si>
    <t>Коломия (Івано-Франківська)</t>
  </si>
  <si>
    <t>Токмак (Запорiзька)</t>
  </si>
  <si>
    <t>Ананьїв (Одеська)</t>
  </si>
  <si>
    <t>Кременчук (Полтавська)</t>
  </si>
  <si>
    <t>Сарни (Рiвненська)</t>
  </si>
  <si>
    <t>Зміїв (Харкiвська)</t>
  </si>
  <si>
    <t>Городня (Чернiгiвська)</t>
  </si>
  <si>
    <t>Iзмаїл (Одеська)</t>
  </si>
  <si>
    <t>Лутугiно (Луганська обл)</t>
  </si>
  <si>
    <t>Краматорськ  (Донецька)</t>
  </si>
  <si>
    <t>Татарбунари (Одеська)</t>
  </si>
  <si>
    <t>Вiталiй Сокоренко (1989)</t>
  </si>
  <si>
    <t>Євген Пестлюк (1988)</t>
  </si>
  <si>
    <t>Вадим Андросов (1986)</t>
  </si>
  <si>
    <t>Євген Бонєсєнiя (1986)</t>
  </si>
  <si>
    <t>Монолiт Харкiв</t>
  </si>
  <si>
    <t>Загальний список</t>
  </si>
  <si>
    <t>в 1/32 фiналу Кубка України - 2012</t>
  </si>
  <si>
    <t>Одеса</t>
  </si>
  <si>
    <t>Запорiжжя</t>
  </si>
  <si>
    <t>Львiв</t>
  </si>
  <si>
    <t>28 травня (сб). 17:00</t>
  </si>
  <si>
    <t>28 травня (сб). 18:00</t>
  </si>
  <si>
    <t>В Квал.раунд Брага</t>
  </si>
  <si>
    <t>10km</t>
  </si>
  <si>
    <t>est</t>
  </si>
  <si>
    <t>господар Португалiя + 2 місця</t>
  </si>
  <si>
    <t>До наступного раунду виходять переможці забігів + 3 кращi за часом</t>
  </si>
  <si>
    <t>Загальний список 3-го раунду</t>
  </si>
  <si>
    <t>Сантандер</t>
  </si>
  <si>
    <t>Хiхон</t>
  </si>
  <si>
    <t>Мост</t>
  </si>
  <si>
    <t>Кладно</t>
  </si>
  <si>
    <t>Енсхеде (Твенхагер)</t>
  </si>
  <si>
    <t>Бреда</t>
  </si>
  <si>
    <t>Нiцца</t>
  </si>
  <si>
    <t>Палермо</t>
  </si>
  <si>
    <t>Козенца</t>
  </si>
  <si>
    <t>Барi</t>
  </si>
  <si>
    <t>Крагуєвац</t>
  </si>
  <si>
    <t>Лєсковац</t>
  </si>
  <si>
    <t>Ясси</t>
  </si>
  <si>
    <t>Галац</t>
  </si>
  <si>
    <t>Загреб</t>
  </si>
  <si>
    <t>Рієка</t>
  </si>
  <si>
    <t>Спліт</t>
  </si>
  <si>
    <t>Лiверпуль</t>
  </si>
  <si>
    <t>Тольяттi</t>
  </si>
  <si>
    <t>Стамбул</t>
  </si>
  <si>
    <t>Анталья</t>
  </si>
  <si>
    <t>Єсєніце</t>
  </si>
  <si>
    <t>Орхус</t>
  </si>
  <si>
    <t>Лодзь</t>
  </si>
  <si>
    <t>Кракiв</t>
  </si>
  <si>
    <t>Ловеч</t>
  </si>
  <si>
    <t>Кошице</t>
  </si>
  <si>
    <t>Баня-Лука</t>
  </si>
  <si>
    <t>Шарлеруа</t>
  </si>
  <si>
    <t>Гродно</t>
  </si>
  <si>
    <t>Брест</t>
  </si>
  <si>
    <t>Назарет</t>
  </si>
  <si>
    <t>Натанья</t>
  </si>
  <si>
    <t>Силламяе</t>
  </si>
  <si>
    <t>Єреван</t>
  </si>
  <si>
    <t>Гюмрi</t>
  </si>
  <si>
    <t>Кишинiв</t>
  </si>
  <si>
    <t>Комрат</t>
  </si>
  <si>
    <t>Панєвєжис</t>
  </si>
  <si>
    <t>Клайпеда</t>
  </si>
  <si>
    <t>Кечкемет</t>
  </si>
  <si>
    <t>Шкодер</t>
  </si>
  <si>
    <t>Дуррес</t>
  </si>
  <si>
    <t>Хальмстад</t>
  </si>
  <si>
    <t>Базель</t>
  </si>
  <si>
    <t>Батумі</t>
  </si>
  <si>
    <t>Зестафонi</t>
  </si>
  <si>
    <t>Валетта</t>
  </si>
  <si>
    <t>Слiма</t>
  </si>
  <si>
    <t>Бакiханова</t>
  </si>
  <si>
    <t>Куманово</t>
  </si>
  <si>
    <t>Лієпая</t>
  </si>
  <si>
    <t>Подгориця</t>
  </si>
  <si>
    <t>Тампере</t>
  </si>
  <si>
    <t>Хабнарфьордюр</t>
  </si>
  <si>
    <t>Торсхавн</t>
  </si>
  <si>
    <t>Вадуц</t>
  </si>
  <si>
    <t>Еттельбрюк</t>
  </si>
  <si>
    <t>Переможець попереднього етапу (серед 48,49 країни) (Андорра-ла-Велья)</t>
  </si>
  <si>
    <t>ППЕ: Тулуза. Андорра-ла-Велья - Сан-Марiно 5:1</t>
  </si>
  <si>
    <t>Томськ</t>
  </si>
  <si>
    <t>Мадрид (Iспанiя)</t>
  </si>
  <si>
    <t>-</t>
  </si>
  <si>
    <t>Хабнарфьордюр (Iсландiя)</t>
  </si>
  <si>
    <t>Прага (Чехiя)</t>
  </si>
  <si>
    <t>Тампере (Фiнляндiя)</t>
  </si>
  <si>
    <t>Марсель (Францiя)</t>
  </si>
  <si>
    <t>Торсхавн (Фарери)</t>
  </si>
  <si>
    <t>Енсхеде (Твенхагер) (Голандiя)</t>
  </si>
  <si>
    <t>Еттельбрюк (Люксембург)</t>
  </si>
  <si>
    <t>Донецьк (Україна)</t>
  </si>
  <si>
    <t>Вадуц (Лiхтенштейн)</t>
  </si>
  <si>
    <t>Андорра-ла-Велья (Андорра)</t>
  </si>
  <si>
    <t>Порту (Португалiя)</t>
  </si>
  <si>
    <t>Лiверпуль (Великобританiя)</t>
  </si>
  <si>
    <t>Гюмрi (Вiрменiя)</t>
  </si>
  <si>
    <t>Москва (Росiя)</t>
  </si>
  <si>
    <t>Грац (Австрiя)</t>
  </si>
  <si>
    <t>Загреб (Хорватiя)</t>
  </si>
  <si>
    <t>Комрат (Молдавiя)</t>
  </si>
  <si>
    <t>Бухарест (Румунiя)</t>
  </si>
  <si>
    <t>Кечкемет (Угорщина)</t>
  </si>
  <si>
    <t>Белград (Сербiя)</t>
  </si>
  <si>
    <t>Брест (Бiлорусiя)</t>
  </si>
  <si>
    <t>Палермо (Iталiя)</t>
  </si>
  <si>
    <t>Клайпеда (Литва)</t>
  </si>
  <si>
    <t>Манчестер (Великобританiя)</t>
  </si>
  <si>
    <t>Єреван (Вiрменiя)</t>
  </si>
  <si>
    <t>Томськ (Росiя)</t>
  </si>
  <si>
    <t>Відень (Австрiя)</t>
  </si>
  <si>
    <t>Рієка (Хорватiя)</t>
  </si>
  <si>
    <t>Кишинiв (Молдова)</t>
  </si>
  <si>
    <t>Галац (Румунiя)</t>
  </si>
  <si>
    <t>Будапешт (Угорщина)</t>
  </si>
  <si>
    <t>Крагуєвац (Сербiя)</t>
  </si>
  <si>
    <t>Гродно (Бiлорусiя)</t>
  </si>
  <si>
    <t>Козенца (Iталiя)</t>
  </si>
  <si>
    <t>Панєвєжис (Литва)</t>
  </si>
  <si>
    <t>Хiхон (Iспанiя)</t>
  </si>
  <si>
    <t>Зестафонi (Грузiя)</t>
  </si>
  <si>
    <t>Мост (Чехiя)</t>
  </si>
  <si>
    <t>Базель (Швейцарiя)</t>
  </si>
  <si>
    <t>Париж (Францiя)</t>
  </si>
  <si>
    <t>Бреда (Голандiя)</t>
  </si>
  <si>
    <t>Дуррес (Албанiя)</t>
  </si>
  <si>
    <t>Львiв (Україна)</t>
  </si>
  <si>
    <t>Хальмстад (Швецiя)</t>
  </si>
  <si>
    <t>Брага (Португалiя)</t>
  </si>
  <si>
    <t>Дублін (Iрландiя)</t>
  </si>
  <si>
    <t>Сантандер (Iспанiя)</t>
  </si>
  <si>
    <t>Батумі (Грузiя)</t>
  </si>
  <si>
    <t>Кладно (Чехiя)</t>
  </si>
  <si>
    <t>Лозанна (Швейцарiя)</t>
  </si>
  <si>
    <t>Нiцца (Францiя)</t>
  </si>
  <si>
    <t>Ларнака (Кiпр)</t>
  </si>
  <si>
    <t>Нікосія (Кiпр)</t>
  </si>
  <si>
    <t>Амстердам (Голандiя)</t>
  </si>
  <si>
    <t>Шкодер (Албанiя)</t>
  </si>
  <si>
    <t>Івано-Франківськ (Україна)</t>
  </si>
  <si>
    <t>Стокгольм (Швецiя)</t>
  </si>
  <si>
    <t>Лісабон (Португалiя)</t>
  </si>
  <si>
    <t>Корк (Iрландiя)</t>
  </si>
  <si>
    <t>Лондон (Великобританiя)</t>
  </si>
  <si>
    <t>Куманово (Македонiя)</t>
  </si>
  <si>
    <t>Тольяттi (Росiя)</t>
  </si>
  <si>
    <t>Осло (Норвегiя)</t>
  </si>
  <si>
    <t>Спліт (Хорватiя)</t>
  </si>
  <si>
    <t>Афіни (Грецiя)</t>
  </si>
  <si>
    <t>Ясси (Румунiя)</t>
  </si>
  <si>
    <t>Подгориця (Чорногорiя)</t>
  </si>
  <si>
    <t>Лєсковац (Сербiя)</t>
  </si>
  <si>
    <t>Бакiханова (Азербайджан)</t>
  </si>
  <si>
    <t>Барi (Iталiя)</t>
  </si>
  <si>
    <t>Лієпая (Латвiя)</t>
  </si>
  <si>
    <t>Любляна (Словенiя)</t>
  </si>
  <si>
    <t>Шарлеруа (Бельгiя)</t>
  </si>
  <si>
    <t>Стамбул (Туреччина)</t>
  </si>
  <si>
    <t>Слiма (Мальта)</t>
  </si>
  <si>
    <t>Кошице (Словаччина)</t>
  </si>
  <si>
    <t>Сараєво (Боснiя)</t>
  </si>
  <si>
    <t>Софія (Болгарiя)</t>
  </si>
  <si>
    <t>Гамбург (Нiмеччина)</t>
  </si>
  <si>
    <t>Силламяе (Естонiя)</t>
  </si>
  <si>
    <t>Орхус (Данiя)</t>
  </si>
  <si>
    <t>Лодзь (Польща)</t>
  </si>
  <si>
    <t>Натанья (Iзраїль)</t>
  </si>
  <si>
    <t>Брюссель (Бельгiя)</t>
  </si>
  <si>
    <t>Єсєніце (Словенiя)</t>
  </si>
  <si>
    <t>Анталья (Туреччина)</t>
  </si>
  <si>
    <t>Валетта (Мальта)</t>
  </si>
  <si>
    <t>Братислава (Словаччина)</t>
  </si>
  <si>
    <t>Баня-Лука (Боснiя)</t>
  </si>
  <si>
    <t>Берлін (Нiмеччина)</t>
  </si>
  <si>
    <t>Таллін (Естонiя)</t>
  </si>
  <si>
    <t>Назарет (Iзраїль)</t>
  </si>
  <si>
    <t>Кракiв (Польща)</t>
  </si>
  <si>
    <t>Копенгаген (Данiя)</t>
  </si>
  <si>
    <t>Ловеч (Болгарiя)</t>
  </si>
  <si>
    <t>10:0</t>
  </si>
  <si>
    <t>5:0</t>
  </si>
  <si>
    <t>13:0</t>
  </si>
  <si>
    <t>6:0</t>
  </si>
  <si>
    <t>12:0</t>
  </si>
  <si>
    <t>8:0</t>
  </si>
  <si>
    <t>8:1</t>
  </si>
  <si>
    <t>2:1</t>
  </si>
  <si>
    <t>1:0</t>
  </si>
  <si>
    <t>5:1</t>
  </si>
  <si>
    <t>3:0</t>
  </si>
  <si>
    <t>0:2</t>
  </si>
  <si>
    <t>2:0</t>
  </si>
  <si>
    <t>6:1</t>
  </si>
  <si>
    <t>7:0</t>
  </si>
  <si>
    <t>0:1</t>
  </si>
  <si>
    <t>4:0</t>
  </si>
  <si>
    <t>1:3</t>
  </si>
  <si>
    <t>1:2</t>
  </si>
  <si>
    <t>2:2 (+3)</t>
  </si>
  <si>
    <t>2:2 (-12)</t>
  </si>
  <si>
    <t>0:0 (+8)</t>
  </si>
  <si>
    <t>0:0 (2:1 ТВ)</t>
  </si>
  <si>
    <t>1:1 (0:1 ТВ)</t>
  </si>
  <si>
    <t>0:4</t>
  </si>
  <si>
    <t>Учасники забігу A. Кракiв (Польща). 27 серпня (сб) 17:00</t>
  </si>
  <si>
    <t>Місто (Країна)</t>
  </si>
  <si>
    <t>Учасники забігу С. Вiдень (Австрiя). 27 серпня (сб) 19:00</t>
  </si>
  <si>
    <t>Учасники забігу D. Стокгольм (Швецiя). 28 серпня (нд) 18:00</t>
  </si>
  <si>
    <t>Учасники забігу Е. Орхус (Данiя). 28 серпня (нд) 19:00</t>
  </si>
  <si>
    <t>Учасники забігу F. Брюссель (Бельгiя). 28 серпня (нд) 19:00</t>
  </si>
  <si>
    <t>Квоти на чемпіонат Європи 2011 року. Брага.  Чоловіки</t>
  </si>
  <si>
    <t>Достроково до фінального раунду виходить Чемпіон минулого ЧЄ (ЧЄ-2011 Сараєво):</t>
  </si>
  <si>
    <t>Через те що гравець чемпiон перейшов в проф.спорт, мiсце отримує країна +1 квота</t>
  </si>
  <si>
    <t>Забіг № 1. 6 вересня. 17:00. Хмельницький</t>
  </si>
  <si>
    <t>Забіг № 2. 6 вересня. 18:00. Хмельницький</t>
  </si>
  <si>
    <t>Забіг № 3. 7 вересня. 18:00 Вiнниця</t>
  </si>
  <si>
    <t>Забіг № 4. 7 вересня. 18:00 Хмельницький</t>
  </si>
  <si>
    <t>Учасники забігу В. Донецьк (Україна). 27 серпня (сб) 18:30</t>
  </si>
  <si>
    <t>ФР</t>
  </si>
  <si>
    <t>Кв.раунд</t>
  </si>
  <si>
    <t>2-ий попереднiй р.</t>
  </si>
  <si>
    <t>До фiнального раунду</t>
  </si>
  <si>
    <t>Петер Ван Куран (1984)</t>
  </si>
  <si>
    <t>Йохан Кiрлендер (1988)</t>
  </si>
  <si>
    <t>Томаш Заучхельд (1988)</t>
  </si>
  <si>
    <t>Вiльгельм Штопар (1986)</t>
  </si>
  <si>
    <t>Патрік Ланден (1984)</t>
  </si>
  <si>
    <t>Едвiн Ван Кастель (1987)</t>
  </si>
  <si>
    <t>Фернандо Эдду (1985), Руй Куеборжи (1988), Фернандо Марро (1984), Олiвера Де Госалес (1988), Хосе Магарiо (1988)</t>
  </si>
  <si>
    <t>Жозе Драгi (1988)</t>
  </si>
  <si>
    <t>Роберто Суаресi (1988)</t>
  </si>
  <si>
    <t>Едуардо Веласса (1983)</t>
  </si>
  <si>
    <t>Антоніто Хресія (1981)</t>
  </si>
  <si>
    <t>Фернандо Стадеро (1988)</t>
  </si>
  <si>
    <t>Роберто Кова (1985)</t>
  </si>
  <si>
    <t>Фернандо Южбара (1987)</t>
  </si>
  <si>
    <t>Т'єрі Гудерма (1986)</t>
  </si>
  <si>
    <t>Патрік Ревуа (1987)</t>
  </si>
  <si>
    <t>Жан Боп'є (1987)</t>
  </si>
  <si>
    <t>Жан Крено (1988)</t>
  </si>
  <si>
    <t>Сініша Сольяковіч (1985)</t>
  </si>
  <si>
    <t>Славолюб Зойковiч (1988)</t>
  </si>
  <si>
    <t>Ротiмар Стаiч (1988)</t>
  </si>
  <si>
    <t>Марко Лiанiч (1987)</t>
  </si>
  <si>
    <t>Олесіо де Маркацоне (1985)</t>
  </si>
  <si>
    <t>Луіджі Фуччі (1985)</t>
  </si>
  <si>
    <t>Дарiо Мангалеттi (1986)</t>
  </si>
  <si>
    <t>Фабiо Лiвардi (1987)</t>
  </si>
  <si>
    <t>Радослав Полшевський (1987)</t>
  </si>
  <si>
    <t>Яцек Кузьмановський (1987)</t>
  </si>
  <si>
    <t>Iлля Бретший (1987)</t>
  </si>
  <si>
    <t>Карел Штанек (1988)</t>
  </si>
  <si>
    <t>Радослав Гуляшек (1985)</t>
  </si>
  <si>
    <t>Павел Явшинек (1988)</t>
  </si>
  <si>
    <t>Мирослав Єшаєк (1985)</t>
  </si>
  <si>
    <t>Олкан Демегрел (1987)</t>
  </si>
  <si>
    <t>Хакан Рамасан (1982)</t>
  </si>
  <si>
    <t>Емре Савух (1988)</t>
  </si>
  <si>
    <t>Боббі Скарлоу (1986)</t>
  </si>
  <si>
    <t>Енді Маркуша (1986)</t>
  </si>
  <si>
    <t>Брайан Рiчардс (1988)</t>
  </si>
  <si>
    <t>Ян Коварт (1983)</t>
  </si>
  <si>
    <t>Хайнц Бергур (1985)</t>
  </si>
  <si>
    <t>Йохан Продольний (1988)</t>
  </si>
  <si>
    <t>Золтан Кваташ (1985)</t>
  </si>
  <si>
    <t>Лазар Храмауши (1983)</t>
  </si>
  <si>
    <t>Йозеф Мiлкоон (1987)</t>
  </si>
  <si>
    <t>Олен Гуліч (1984)</t>
  </si>
  <si>
    <t>Горан Стяунович (1982)</t>
  </si>
  <si>
    <t>Дадо Карталович (1986)</t>
  </si>
  <si>
    <t>Ентонін Кретіч (1986)</t>
  </si>
  <si>
    <t>Деян Поварна (1983)</t>
  </si>
  <si>
    <t>Звєздан Кладіміч (1985)</t>
  </si>
  <si>
    <t>Мірча Анденеску (1986)</t>
  </si>
  <si>
    <t>Разван Греску (1987)</t>
  </si>
  <si>
    <t>Жеян Кухар (1986)</t>
  </si>
  <si>
    <t>Радимір Машол (1983)</t>
  </si>
  <si>
    <t>Мартін Кірмах (1985)</t>
  </si>
  <si>
    <t>Олексій Демак (1985)</t>
  </si>
  <si>
    <t>Сергiй Бiлов (1988)</t>
  </si>
  <si>
    <t>Антон Пошахов (1988)</t>
  </si>
  <si>
    <t>Звєздан Ройчевіч (1986)</t>
  </si>
  <si>
    <t>Йован Срет (1988)</t>
  </si>
  <si>
    <t>Драган Шаталiч (1988)</t>
  </si>
  <si>
    <t>Міленко Казематович (1983)</t>
  </si>
  <si>
    <t>Деян Філітовіч (1984)</t>
  </si>
  <si>
    <t>Славолюб Кайдановіч (1986)</t>
  </si>
  <si>
    <t xml:space="preserve">Вэдімас Джохнас (1986) </t>
  </si>
  <si>
    <t>Марас Касмiполас (1988)</t>
  </si>
  <si>
    <t>Константiн Кукiс (1988)</t>
  </si>
  <si>
    <t>Златан Фонтановіч (1986)</t>
  </si>
  <si>
    <t>Марек Гульовськи (1984)</t>
  </si>
  <si>
    <t>Дебатiк Ангеловськи (1988)</t>
  </si>
  <si>
    <t>Аспарух Святоржинов (1985)</t>
  </si>
  <si>
    <t>Iван Голосков (1985)</t>
  </si>
  <si>
    <t>Ненад Єдєв (1988)</t>
  </si>
  <si>
    <t>Андрюс Паалстінес (1982)</t>
  </si>
  <si>
    <t>Штiмас Епоро (1988)</t>
  </si>
  <si>
    <t>Дайнi Ляяма (1988)</t>
  </si>
  <si>
    <t>Ерхан Трет'як (1987)</t>
  </si>
  <si>
    <t>Андрiй Кропiну (1987)</t>
  </si>
  <si>
    <t>Геннадiй Горан (1988)</t>
  </si>
  <si>
    <t>Роббі Кіслей (1986)</t>
  </si>
  <si>
    <t>Марк Хартлен (1985)</t>
  </si>
  <si>
    <t>Деннi Хартiн (1988)</t>
  </si>
  <si>
    <t>Крістіан Міхсшольд (1983)</t>
  </si>
  <si>
    <t>Андрес Сульзден (1988)</t>
  </si>
  <si>
    <t>Томас Глорссен (1988)</t>
  </si>
  <si>
    <t>Ігорс Сауседас (1986)</t>
  </si>
  <si>
    <t>Вікторас Кульзітос (1987)</t>
  </si>
  <si>
    <t>Алджимас Курілос (1986)</t>
  </si>
  <si>
    <t>Євген Шертюкевич (1985)</t>
  </si>
  <si>
    <t>Антон Мiлiшко (1988)</t>
  </si>
  <si>
    <t>Володимир Крупевiч (1987)</t>
  </si>
  <si>
    <t>Васіліос Заржиді (1984)</t>
  </si>
  <si>
    <t>Георгіос Хлантініс (1984)</t>
  </si>
  <si>
    <t>Аксус Матанакiс (1988)</t>
  </si>
  <si>
    <t>Оман Зеде (1985)</t>
  </si>
  <si>
    <t>Дамiр Ламбан (1987)</t>
  </si>
  <si>
    <t>Армен Сiлан (1988)</t>
  </si>
  <si>
    <t>Вітас Фарітас (1985)</t>
  </si>
  <si>
    <t>Олексіас Датiнс (1988)</t>
  </si>
  <si>
    <t>Антонiс Катанус (1988)</t>
  </si>
  <si>
    <t>Фредер Арбсон (1985)</t>
  </si>
  <si>
    <t>Томаш Герiссон (1988)</t>
  </si>
  <si>
    <t xml:space="preserve"> Тордер Лююлайнен (1982)</t>
  </si>
  <si>
    <t>Абрель Хабi (1988)</t>
  </si>
  <si>
    <t>Штак Лазiя (1988)</t>
  </si>
  <si>
    <t>Ярi Кулiяонi (1988)</t>
  </si>
  <si>
    <t>Лукаш Нівіо (1984)</t>
  </si>
  <si>
    <t>Лівіо Піронті (1985)</t>
  </si>
  <si>
    <t>Тiм Ховшель (1986)</t>
  </si>
  <si>
    <t>Ян Стапж (1988)</t>
  </si>
  <si>
    <t>Рональд Делтафлаєр (1986)</t>
  </si>
  <si>
    <t>Ян Самтерд (1987)</t>
  </si>
  <si>
    <t>Автанділ Шапанідзе (1984)</t>
  </si>
  <si>
    <t>Iраклiй Сарiя (1987)</t>
  </si>
  <si>
    <t>Георгiй Манвалi (1988)</t>
  </si>
  <si>
    <t>Штефан Клаустер (1987)</t>
  </si>
  <si>
    <t>Мiклен Йєнус (1988)</t>
  </si>
  <si>
    <t>Стефан Зайча (1988)</t>
  </si>
  <si>
    <t>Тiмуш Сейдж (1987)</t>
  </si>
  <si>
    <t>Михаель Кулшаєр (1986)</t>
  </si>
  <si>
    <t>Томаш Будхельд (1988)</t>
  </si>
  <si>
    <t>Ашот Мхарян (1988)</t>
  </si>
  <si>
    <t>Саркiз Озарян (1987)</t>
  </si>
  <si>
    <t>Харім Кульпані (1984)</t>
  </si>
  <si>
    <t>Йоссі Лупаріюн (1983)</t>
  </si>
  <si>
    <t>Онго Полянс (1982)</t>
  </si>
  <si>
    <t>Іадор Фурлет (1985)</t>
  </si>
  <si>
    <t>Тiмур Гасанов (1988)</t>
  </si>
  <si>
    <t>Карiм Мєков (1988)</t>
  </si>
  <si>
    <t>Крістіан Дубакрайтінссон (1984)</t>
  </si>
  <si>
    <t>Тордер Сольсен (1987)</t>
  </si>
  <si>
    <t>Мiлан Акобсен (1988)</t>
  </si>
  <si>
    <t>Сiльвен Педерсон (1987)</t>
  </si>
  <si>
    <t>Маркус Рiрер (1988)</t>
  </si>
  <si>
    <t>Томаш Міф (1982)</t>
  </si>
  <si>
    <t>Антоніо Полізіно (1982)</t>
  </si>
  <si>
    <t>Хуан Пога (1983)</t>
  </si>
  <si>
    <t>Голандiя</t>
  </si>
  <si>
    <t>Боснiя</t>
  </si>
  <si>
    <t>Македонiя</t>
  </si>
  <si>
    <t>Латвiя</t>
  </si>
  <si>
    <t>Норвегiя</t>
  </si>
  <si>
    <t>Грузiя</t>
  </si>
  <si>
    <t>Забіг № 1 (23 вересня, пт, 16:00). Норвегiя (Осло)</t>
  </si>
  <si>
    <t>Португалiя</t>
  </si>
  <si>
    <t>Болгарiя</t>
  </si>
  <si>
    <t>Естонiя</t>
  </si>
  <si>
    <t>Молдавiя</t>
  </si>
  <si>
    <t>Данiя</t>
  </si>
  <si>
    <t>Албанiя</t>
  </si>
  <si>
    <t>Забіг № 2 (23 вересня, пт, 17:00). Словаччина (Братислава)</t>
  </si>
  <si>
    <t>Iспанiя</t>
  </si>
  <si>
    <t>Чорногорiя</t>
  </si>
  <si>
    <t>Забіг № 3 (23 вересня, пт, 18:00). Данiя (Копенгаген)</t>
  </si>
  <si>
    <t>Хорватiя</t>
  </si>
  <si>
    <t>Росiя</t>
  </si>
  <si>
    <t>Грецiя</t>
  </si>
  <si>
    <t>Забіг № 4 (24 вересня, сб, 15:00). Росiя (Москва)</t>
  </si>
  <si>
    <t>Iталiя</t>
  </si>
  <si>
    <t>Вiрменiя</t>
  </si>
  <si>
    <t>Iзраїль</t>
  </si>
  <si>
    <t>Австрiя</t>
  </si>
  <si>
    <t>Бiлорусiя</t>
  </si>
  <si>
    <t>Бельгiя</t>
  </si>
  <si>
    <t>Швецiя</t>
  </si>
  <si>
    <t>Забіг № 5 (24 вересня, сб, 16:00). Швецiя (Стокгольм)</t>
  </si>
  <si>
    <t>Iрландiя</t>
  </si>
  <si>
    <t>Кипр</t>
  </si>
  <si>
    <t>Фiнляндiя</t>
  </si>
  <si>
    <t>Швейцарiя</t>
  </si>
  <si>
    <t>Забіг № 6 (24 вересня, сб, 17:00). Бельгiя (Брюссель)</t>
  </si>
  <si>
    <t>Iсландiя</t>
  </si>
  <si>
    <t>Румунiя</t>
  </si>
  <si>
    <t>Словенiя</t>
  </si>
  <si>
    <t>Сербiя</t>
  </si>
  <si>
    <t>Забіг № 7 (24 вересня, сб, 17:00). Австрiя (Вiдень)</t>
  </si>
  <si>
    <t>Забіг № 8 (24 вересня, сб, 17:00). Угорщина (Будапешт)</t>
  </si>
  <si>
    <t>Загальний список 1-го раунду</t>
  </si>
  <si>
    <t>ДРУГИЙ ПОПЕРЕДНIЙ РАУНД</t>
  </si>
  <si>
    <t>Францiя</t>
  </si>
  <si>
    <t>Чехiя</t>
  </si>
  <si>
    <t>Великобританiя</t>
  </si>
  <si>
    <t>Нiмеччина</t>
  </si>
  <si>
    <t>Литва</t>
  </si>
  <si>
    <t>Кiпр</t>
  </si>
  <si>
    <t>Забіг № 1 (13 жовтня, чт, 17:00). Iталiя (Рим)</t>
  </si>
  <si>
    <t>Забіг № 2 (13 жовтня, чт, 18:00). Португалiя (Лiсабон)</t>
  </si>
  <si>
    <t>Забіг № 3 (14 жовтня, пт, 17:00). Угорщина (Будапешт)</t>
  </si>
  <si>
    <t>Забіг № 4 (14 жовтня, пт, 18:00). Францiя (Марсель)</t>
  </si>
  <si>
    <t>Забіг № 5 (15 жовтня, сб, 17:00). Iспанiя. Валенсiя</t>
  </si>
  <si>
    <t>Забіг № 6 (15 жовтня, сб, 17:00). Бельгiя. Брюссель</t>
  </si>
  <si>
    <t>Забіг № 7 (15 жовтня, сб, 17:00). Болгарiя. Софiя</t>
  </si>
  <si>
    <t>Рейт.бали</t>
  </si>
  <si>
    <t>Для країни</t>
  </si>
  <si>
    <t>для кр</t>
  </si>
  <si>
    <t>iзраїль</t>
  </si>
  <si>
    <t>iрландiя</t>
  </si>
  <si>
    <t>iсландiя</t>
  </si>
  <si>
    <t>iспанiя</t>
  </si>
  <si>
    <t>iталiя</t>
  </si>
  <si>
    <t>Лiхтенштейн</t>
  </si>
  <si>
    <t>Сан-Марiно</t>
  </si>
  <si>
    <t>на 01.11.2011</t>
  </si>
  <si>
    <t>на 01.01.2012</t>
  </si>
  <si>
    <t>Фернандо Эдду (1985)</t>
  </si>
  <si>
    <t>Руй Куеборжи (1988)</t>
  </si>
  <si>
    <t>Фернандо Марро (1984)</t>
  </si>
  <si>
    <t>Олiвера Де Госалес (1988)</t>
  </si>
  <si>
    <t>Хосе Магарiо (1988)</t>
  </si>
  <si>
    <t>Органiзацiя</t>
  </si>
  <si>
    <t>Кваліфікаційний раунд (шоссе у мiстi Брага, 10км)</t>
  </si>
  <si>
    <t>05 листопада (сб). 16:00 *</t>
  </si>
  <si>
    <t>Естафета</t>
  </si>
  <si>
    <t>Фінальний забіг</t>
  </si>
  <si>
    <t>ЧЄ - 2011. 19 листопада 2011. Субота. 15:00 за Київським часом. Брага</t>
  </si>
  <si>
    <t>Твенхагер</t>
  </si>
  <si>
    <t>Ферранта</t>
  </si>
  <si>
    <t>Португаліо Навасьоне</t>
  </si>
  <si>
    <t>Загребська діваджа</t>
  </si>
  <si>
    <t>Мірча Стелеску (1986)</t>
  </si>
  <si>
    <t>Забіг фінальний. 12 листопада. 10000 м. 16:00 за Київським часом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</si>
</sst>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\ &quot;грн.&quot;"/>
    <numFmt numFmtId="179" formatCode="[$-422]d\ mmmm\ yyyy&quot; р.&quot;"/>
    <numFmt numFmtId="180" formatCode="0.0000000"/>
    <numFmt numFmtId="181" formatCode="0.00000000"/>
    <numFmt numFmtId="182" formatCode="0.000000000"/>
    <numFmt numFmtId="183" formatCode="0.000000"/>
    <numFmt numFmtId="184" formatCode="0.00000"/>
    <numFmt numFmtId="185" formatCode="0.0000"/>
    <numFmt numFmtId="186" formatCode="#,##0.0"/>
    <numFmt numFmtId="187" formatCode="mmm/yyyy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Tahoma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sz val="8"/>
      <name val="Tahoma"/>
      <family val="0"/>
    </font>
    <font>
      <sz val="10"/>
      <color indexed="9"/>
      <name val="Arial Cyr"/>
      <family val="0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46" fontId="0" fillId="0" borderId="1" xfId="0" applyNumberFormat="1" applyBorder="1" applyAlignment="1">
      <alignment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Alignment="1">
      <alignment horizontal="center" wrapText="1"/>
    </xf>
    <xf numFmtId="20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6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2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4" fontId="0" fillId="0" borderId="1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46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1" xfId="0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3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46" fontId="7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0" xfId="0" applyNumberFormat="1" applyAlignment="1">
      <alignment horizontal="center" wrapText="1"/>
    </xf>
    <xf numFmtId="1" fontId="0" fillId="0" borderId="3" xfId="0" applyNumberFormat="1" applyFill="1" applyBorder="1" applyAlignment="1">
      <alignment/>
    </xf>
    <xf numFmtId="1" fontId="0" fillId="5" borderId="3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46" fontId="4" fillId="0" borderId="1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3" fillId="5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 wrapText="1"/>
    </xf>
    <xf numFmtId="4" fontId="0" fillId="0" borderId="2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11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2" fontId="0" fillId="0" borderId="13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fifa.com/imgml/flags/s/cmr.gif" TargetMode="External" /><Relationship Id="rId2" Type="http://schemas.openxmlformats.org/officeDocument/2006/relationships/image" Target="http://www.fifa.com/imgml/flags/s/nga.gif" TargetMode="External" /><Relationship Id="rId3" Type="http://schemas.openxmlformats.org/officeDocument/2006/relationships/image" Target="http://www.fifa.com/imgml/flags/s/esp.gif" TargetMode="External" /><Relationship Id="rId4" Type="http://schemas.openxmlformats.org/officeDocument/2006/relationships/image" Target="http://www.fifa.com/imgml/flags/s/bra.gif" TargetMode="External" /><Relationship Id="rId5" Type="http://schemas.openxmlformats.org/officeDocument/2006/relationships/image" Target="http://www.fifa.com/imgml/flags/s/arg.gif" TargetMode="External" /><Relationship Id="rId6" Type="http://schemas.openxmlformats.org/officeDocument/2006/relationships/image" Target="http://www.fifa.com/imgml/flags/s/eth.gif" TargetMode="External" /><Relationship Id="rId7" Type="http://schemas.openxmlformats.org/officeDocument/2006/relationships/image" Target="http://www.fifa.com/imgml/flags/s/zam.gif" TargetMode="External" /><Relationship Id="rId8" Type="http://schemas.openxmlformats.org/officeDocument/2006/relationships/image" Target="http://www.fifa.com/imgml/flags/s/gha.gif" TargetMode="External" /><Relationship Id="rId9" Type="http://schemas.openxmlformats.org/officeDocument/2006/relationships/image" Target="http://www.fifa.com/imgml/flags/s/pol.gif" TargetMode="External" /><Relationship Id="rId10" Type="http://schemas.openxmlformats.org/officeDocument/2006/relationships/image" Target="http://www.fifa.com/imgml/flags/s/uru.gif" TargetMode="External" /><Relationship Id="rId11" Type="http://schemas.openxmlformats.org/officeDocument/2006/relationships/image" Target="http://www.fifa.com/imgml/flags/s/egy.gif" TargetMode="External" /><Relationship Id="rId12" Type="http://schemas.openxmlformats.org/officeDocument/2006/relationships/image" Target="http://www.fifa.com/imgml/flags/s/ecu.gif" TargetMode="External" /><Relationship Id="rId13" Type="http://schemas.openxmlformats.org/officeDocument/2006/relationships/image" Target="http://www.fifa.com/imgml/flags/s/ita.gif" TargetMode="External" /><Relationship Id="rId14" Type="http://schemas.openxmlformats.org/officeDocument/2006/relationships/image" Target="http://www.fifa.com/imgml/flags/s/ksa.gif" TargetMode="External" /><Relationship Id="rId15" Type="http://schemas.openxmlformats.org/officeDocument/2006/relationships/image" Target="http://www.fifa.com/imgml/flags/s/cze.gif" TargetMode="External" /><Relationship Id="rId16" Type="http://schemas.openxmlformats.org/officeDocument/2006/relationships/image" Target="http://www.fifa.com/imgml/flags/s/ger.gif" TargetMode="External" /><Relationship Id="rId17" Type="http://schemas.openxmlformats.org/officeDocument/2006/relationships/image" Target="http://www.fifa.com/imgml/flags/s/alg.gif" TargetMode="External" /><Relationship Id="rId18" Type="http://schemas.openxmlformats.org/officeDocument/2006/relationships/image" Target="http://www.fifa.com/imgml/flags/s/usa.gif" TargetMode="External" /><Relationship Id="rId19" Type="http://schemas.openxmlformats.org/officeDocument/2006/relationships/image" Target="http://www.fifa.com/imgml/flags/s/aus.gif" TargetMode="External" /><Relationship Id="rId20" Type="http://schemas.openxmlformats.org/officeDocument/2006/relationships/image" Target="http://www.fifa.com/imgml/flags/s/ken.gif" TargetMode="External" /><Relationship Id="rId21" Type="http://schemas.openxmlformats.org/officeDocument/2006/relationships/image" Target="http://www.fifa.com/imgml/flags/s/sen.gif" TargetMode="External" /><Relationship Id="rId22" Type="http://schemas.openxmlformats.org/officeDocument/2006/relationships/image" Target="http://www.fifa.com/imgml/flags/s/civ.gif" TargetMode="External" /><Relationship Id="rId23" Type="http://schemas.openxmlformats.org/officeDocument/2006/relationships/image" Target="http://www.fifa.com/imgml/flags/s/col.gif" TargetMode="External" /><Relationship Id="rId24" Type="http://schemas.openxmlformats.org/officeDocument/2006/relationships/image" Target="http://www.fifa.com/imgml/flags/s/ukr.gif" TargetMode="External" /><Relationship Id="rId25" Type="http://schemas.openxmlformats.org/officeDocument/2006/relationships/image" Target="http://www.fifa.com/imgml/flags/s/tun.gif" TargetMode="External" /><Relationship Id="rId26" Type="http://schemas.openxmlformats.org/officeDocument/2006/relationships/image" Target="http://www.fifa.com/imgml/flags/s/mar.gif" TargetMode="External" /><Relationship Id="rId27" Type="http://schemas.openxmlformats.org/officeDocument/2006/relationships/image" Target="http://www.fifa.com/imgml/flags/s/chn.gif" TargetMode="External" /><Relationship Id="rId28" Type="http://schemas.openxmlformats.org/officeDocument/2006/relationships/image" Target="http://www.fifa.com/imgml/flags/s/fra.gif" TargetMode="External" /><Relationship Id="rId29" Type="http://schemas.openxmlformats.org/officeDocument/2006/relationships/image" Target="http://www.fifa.com/imgml/flags/s/ang.gif" TargetMode="External" /><Relationship Id="rId30" Type="http://schemas.openxmlformats.org/officeDocument/2006/relationships/image" Target="http://www.fifa.com/imgml/flags/s/rus.gif" TargetMode="External" /><Relationship Id="rId31" Type="http://schemas.openxmlformats.org/officeDocument/2006/relationships/image" Target="http://www.fifa.com/imgml/flags/s/chi.gif" TargetMode="External" /><Relationship Id="rId32" Type="http://schemas.openxmlformats.org/officeDocument/2006/relationships/image" Target="http://www.fifa.com/imgml/flags/s/svk.gif" TargetMode="External" /><Relationship Id="rId33" Type="http://schemas.openxmlformats.org/officeDocument/2006/relationships/image" Target="http://www.fifa.com/imgml/flags/s/jpn.gif" TargetMode="External" /><Relationship Id="rId34" Type="http://schemas.openxmlformats.org/officeDocument/2006/relationships/image" Target="http://www.fifa.com/imgml/flags/s/gab.gif" TargetMode="External" /><Relationship Id="rId35" Type="http://schemas.openxmlformats.org/officeDocument/2006/relationships/image" Target="http://www.fifa.com/imgml/flags/s/crc.gif" TargetMode="External" /><Relationship Id="rId36" Type="http://schemas.openxmlformats.org/officeDocument/2006/relationships/image" Target="http://www.fifa.com/imgml/flags/s/ltu.gif" TargetMode="External" /><Relationship Id="rId37" Type="http://schemas.openxmlformats.org/officeDocument/2006/relationships/image" Target="http://www.fifa.com/imgml/flags/s/par.gif" TargetMode="External" /><Relationship Id="rId38" Type="http://schemas.openxmlformats.org/officeDocument/2006/relationships/image" Target="http://www.fifa.com/imgml/flags/s/mex.gif" TargetMode="External" /><Relationship Id="rId39" Type="http://schemas.openxmlformats.org/officeDocument/2006/relationships/image" Target="http://www.fifa.com/imgml/flags/s/rou.gif" TargetMode="External" /><Relationship Id="rId40" Type="http://schemas.openxmlformats.org/officeDocument/2006/relationships/image" Target="http://www.fifa.com/imgml/flags/s/ven.gif" TargetMode="External" /><Relationship Id="rId41" Type="http://schemas.openxmlformats.org/officeDocument/2006/relationships/image" Target="http://www.fifa.com/imgml/flags/s/hon.gif" TargetMode="External" /><Relationship Id="rId42" Type="http://schemas.openxmlformats.org/officeDocument/2006/relationships/image" Target="http://www.fifa.com/imgml/flags/s/mne.gif" TargetMode="External" /><Relationship Id="rId43" Type="http://schemas.openxmlformats.org/officeDocument/2006/relationships/image" Target="http://www.fifa.com/imgml/flags/s/kor.gif" TargetMode="External" /><Relationship Id="rId44" Type="http://schemas.openxmlformats.org/officeDocument/2006/relationships/image" Target="http://www.fifa.com/imgml/flags/s/bfa.gif" TargetMode="External" /><Relationship Id="rId45" Type="http://schemas.openxmlformats.org/officeDocument/2006/relationships/image" Target="http://www.fifa.com/imgml/flags/s/lva.gif" TargetMode="External" /><Relationship Id="rId46" Type="http://schemas.openxmlformats.org/officeDocument/2006/relationships/image" Target="http://www.fifa.com/imgml/flags/s/blr.gif" TargetMode="External" /><Relationship Id="rId47" Type="http://schemas.openxmlformats.org/officeDocument/2006/relationships/image" Target="http://www.fifa.com/imgml/flags/s/nor.gif" TargetMode="External" /><Relationship Id="rId48" Type="http://schemas.openxmlformats.org/officeDocument/2006/relationships/image" Target="http://www.fifa.com/imgml/flags/s/est.gif" TargetMode="External" /><Relationship Id="rId49" Type="http://schemas.openxmlformats.org/officeDocument/2006/relationships/image" Target="http://www.fifa.com/imgml/flags/s/ned.gif" TargetMode="External" /><Relationship Id="rId50" Type="http://schemas.openxmlformats.org/officeDocument/2006/relationships/image" Target="http://www.fifa.com/imgml/flags/s/eng.gif" TargetMode="External" /><Relationship Id="rId51" Type="http://schemas.openxmlformats.org/officeDocument/2006/relationships/image" Target="http://www.fifa.com/imgml/flags/s/srb.gif" TargetMode="External" /><Relationship Id="rId52" Type="http://schemas.openxmlformats.org/officeDocument/2006/relationships/image" Target="http://www.fifa.com/imgml/flags/s/hun.gif" TargetMode="External" /><Relationship Id="rId53" Type="http://schemas.openxmlformats.org/officeDocument/2006/relationships/image" Target="http://www.fifa.com/imgml/flags/s/moz.gif" TargetMode="External" /><Relationship Id="rId54" Type="http://schemas.openxmlformats.org/officeDocument/2006/relationships/image" Target="http://www.fifa.com/imgml/flags/s/rsa.gif" TargetMode="External" /><Relationship Id="rId55" Type="http://schemas.openxmlformats.org/officeDocument/2006/relationships/image" Target="http://www.fifa.com/imgml/flags/s/jam.gif" TargetMode="External" /><Relationship Id="rId56" Type="http://schemas.openxmlformats.org/officeDocument/2006/relationships/image" Target="http://www.fifa.com/imgml/flags/s/nzl.gif" TargetMode="External" /><Relationship Id="rId57" Type="http://schemas.openxmlformats.org/officeDocument/2006/relationships/image" Target="http://www.fifa.com/imgml/flags/s/mkd.gif" TargetMode="External" /><Relationship Id="rId58" Type="http://schemas.openxmlformats.org/officeDocument/2006/relationships/image" Target="http://www.fifa.com/imgml/flags/s/gre.gif" TargetMode="External" /><Relationship Id="rId59" Type="http://schemas.openxmlformats.org/officeDocument/2006/relationships/image" Target="http://www.fifa.com/imgml/flags/s/por.gif" TargetMode="External" /><Relationship Id="rId60" Type="http://schemas.openxmlformats.org/officeDocument/2006/relationships/image" Target="http://www.fifa.com/imgml/flags/s/mli.gif" TargetMode="External" /><Relationship Id="rId61" Type="http://schemas.openxmlformats.org/officeDocument/2006/relationships/image" Target="http://www.fifa.com/imgml/flags/s/bih.gif" TargetMode="External" /><Relationship Id="rId62" Type="http://schemas.openxmlformats.org/officeDocument/2006/relationships/image" Target="http://www.fifa.com/imgml/flags/s/tur.gif" TargetMode="External" /><Relationship Id="rId63" Type="http://schemas.openxmlformats.org/officeDocument/2006/relationships/image" Target="http://www.fifa.com/imgml/flags/s/irn.gif" TargetMode="External" /><Relationship Id="rId64" Type="http://schemas.openxmlformats.org/officeDocument/2006/relationships/image" Target="http://www.fifa.com/imgml/flags/s/per.gif" TargetMode="External" /><Relationship Id="rId65" Type="http://schemas.openxmlformats.org/officeDocument/2006/relationships/image" Target="http://www.fifa.com/imgml/flags/s/swe.gif" TargetMode="External" /><Relationship Id="rId66" Type="http://schemas.openxmlformats.org/officeDocument/2006/relationships/image" Target="http://www.fifa.com/imgml/flags/s/gui.gif" TargetMode="External" /><Relationship Id="rId67" Type="http://schemas.openxmlformats.org/officeDocument/2006/relationships/image" Target="http://www.fifa.com/imgml/flags/s/uga.gif" TargetMode="External" /><Relationship Id="rId68" Type="http://schemas.openxmlformats.org/officeDocument/2006/relationships/image" Target="http://www.fifa.com/imgml/flags/s/qat.gif" TargetMode="External" /><Relationship Id="rId69" Type="http://schemas.openxmlformats.org/officeDocument/2006/relationships/image" Target="http://www.fifa.com/imgml/flags/s/kuw.gif" TargetMode="External" /><Relationship Id="rId70" Type="http://schemas.openxmlformats.org/officeDocument/2006/relationships/image" Target="http://www.fifa.com/imgml/flags/s/oma.gif" TargetMode="External" /><Relationship Id="rId71" Type="http://schemas.openxmlformats.org/officeDocument/2006/relationships/image" Target="http://www.fifa.com/imgml/flags/s/alb.gif" TargetMode="External" /><Relationship Id="rId72" Type="http://schemas.openxmlformats.org/officeDocument/2006/relationships/image" Target="http://www.fifa.com/imgml/flags/s/can.gif" TargetMode="External" /><Relationship Id="rId73" Type="http://schemas.openxmlformats.org/officeDocument/2006/relationships/image" Target="http://www.fifa.com/imgml/flags/s/bol.gif" TargetMode="External" /><Relationship Id="rId74" Type="http://schemas.openxmlformats.org/officeDocument/2006/relationships/image" Target="http://www.fifa.com/imgml/flags/s/cgo.gif" TargetMode="External" /><Relationship Id="rId75" Type="http://schemas.openxmlformats.org/officeDocument/2006/relationships/image" Target="http://www.fifa.com/imgml/flags/s/lby.gif" TargetMode="External" /><Relationship Id="rId76" Type="http://schemas.openxmlformats.org/officeDocument/2006/relationships/image" Target="http://www.fifa.com/imgml/flags/s/zim.gif" TargetMode="External" /><Relationship Id="rId77" Type="http://schemas.openxmlformats.org/officeDocument/2006/relationships/image" Target="http://www.fifa.com/imgml/flags/s/svn.gif" TargetMode="External" /><Relationship Id="rId78" Type="http://schemas.openxmlformats.org/officeDocument/2006/relationships/image" Target="http://www.fifa.com/imgml/flags/s/cro.gif" TargetMode="External" /><Relationship Id="rId79" Type="http://schemas.openxmlformats.org/officeDocument/2006/relationships/image" Target="http://www.fifa.com/imgml/flags/s/bul.gif" TargetMode="External" /><Relationship Id="rId80" Type="http://schemas.openxmlformats.org/officeDocument/2006/relationships/image" Target="http://www.fifa.com/imgml/flags/s/bhr.gif" TargetMode="External" /><Relationship Id="rId81" Type="http://schemas.openxmlformats.org/officeDocument/2006/relationships/image" Target="http://www.fifa.com/imgml/flags/s/tha.gif" TargetMode="External" /><Relationship Id="rId82" Type="http://schemas.openxmlformats.org/officeDocument/2006/relationships/image" Target="http://www.fifa.com/imgml/flags/s/gam.gif" TargetMode="External" /><Relationship Id="rId83" Type="http://schemas.openxmlformats.org/officeDocument/2006/relationships/image" Target="http://www.fifa.com/imgml/flags/s/cyp.gif" TargetMode="External" /><Relationship Id="rId84" Type="http://schemas.openxmlformats.org/officeDocument/2006/relationships/image" Target="http://www.fifa.com/imgml/flags/s/aut.gif" TargetMode="External" /><Relationship Id="rId85" Type="http://schemas.openxmlformats.org/officeDocument/2006/relationships/image" Target="http://www.fifa.com/imgml/flags/s/fin.gif" TargetMode="External" /><Relationship Id="rId86" Type="http://schemas.openxmlformats.org/officeDocument/2006/relationships/image" Target="http://www.fifa.com/imgml/flags/s/irl.gif" TargetMode="External" /><Relationship Id="rId87" Type="http://schemas.openxmlformats.org/officeDocument/2006/relationships/image" Target="http://www.fifa.com/imgml/flags/s/prk.gif" TargetMode="External" /><Relationship Id="rId88" Type="http://schemas.openxmlformats.org/officeDocument/2006/relationships/image" Target="http://www.fifa.com/imgml/flags/s/tan.gif" TargetMode="External" /><Relationship Id="rId89" Type="http://schemas.openxmlformats.org/officeDocument/2006/relationships/image" Target="http://www.fifa.com/imgml/flags/s/vie.gif" TargetMode="External" /><Relationship Id="rId90" Type="http://schemas.openxmlformats.org/officeDocument/2006/relationships/image" Target="http://www.fifa.com/imgml/flags/s/kaz.gif" TargetMode="External" /><Relationship Id="rId91" Type="http://schemas.openxmlformats.org/officeDocument/2006/relationships/image" Target="http://www.fifa.com/imgml/flags/s/lao.gif" TargetMode="External" /><Relationship Id="rId92" Type="http://schemas.openxmlformats.org/officeDocument/2006/relationships/image" Target="http://www.fifa.com/imgml/flags/s/gnb.gif" TargetMode="External" /><Relationship Id="rId93" Type="http://schemas.openxmlformats.org/officeDocument/2006/relationships/image" Target="http://www.fifa.com/imgml/flags/s/sui.gif" TargetMode="External" /><Relationship Id="rId94" Type="http://schemas.openxmlformats.org/officeDocument/2006/relationships/image" Target="http://www.fifa.com/imgml/flags/s/geo.gif" TargetMode="External" /><Relationship Id="rId95" Type="http://schemas.openxmlformats.org/officeDocument/2006/relationships/image" Target="http://www.fifa.com/imgml/flags/s/cod.gif" TargetMode="External" /><Relationship Id="rId96" Type="http://schemas.openxmlformats.org/officeDocument/2006/relationships/image" Target="http://www.fifa.com/imgml/flags/s/jor.gif" TargetMode="External" /><Relationship Id="rId97" Type="http://schemas.openxmlformats.org/officeDocument/2006/relationships/image" Target="http://www.fifa.com/imgml/flags/s/rwa.gif" TargetMode="External" /><Relationship Id="rId98" Type="http://schemas.openxmlformats.org/officeDocument/2006/relationships/image" Target="http://www.fifa.com/imgml/flags/s/sud.gif" TargetMode="External" /><Relationship Id="rId99" Type="http://schemas.openxmlformats.org/officeDocument/2006/relationships/image" Target="http://www.fifa.com/imgml/flags/s/nam.gif" TargetMode="External" /><Relationship Id="rId100" Type="http://schemas.openxmlformats.org/officeDocument/2006/relationships/image" Target="http://www.fifa.com/imgml/flags/s/uae.gif" TargetMode="External" /><Relationship Id="rId101" Type="http://schemas.openxmlformats.org/officeDocument/2006/relationships/image" Target="http://www.fifa.com/imgml/flags/s/irq.gif" TargetMode="External" /><Relationship Id="rId102" Type="http://schemas.openxmlformats.org/officeDocument/2006/relationships/image" Target="http://www.fifa.com/imgml/flags/s/uzb.gif" TargetMode="External" /><Relationship Id="rId103" Type="http://schemas.openxmlformats.org/officeDocument/2006/relationships/image" Target="http://www.fifa.com/imgml/flags/s/cha.gif" TargetMode="External" /><Relationship Id="rId104" Type="http://schemas.openxmlformats.org/officeDocument/2006/relationships/image" Target="http://www.fifa.com/imgml/flags/s/ind.gif" TargetMode="External" /><Relationship Id="rId105" Type="http://schemas.openxmlformats.org/officeDocument/2006/relationships/image" Target="http://www.fifa.com/imgml/flags/s/eri.gif" TargetMode="External" /><Relationship Id="rId106" Type="http://schemas.openxmlformats.org/officeDocument/2006/relationships/image" Target="http://www.fifa.com/imgml/flags/s/mng.gif" TargetMode="External" /><Relationship Id="rId107" Type="http://schemas.openxmlformats.org/officeDocument/2006/relationships/image" Target="http://www.fifa.com/imgml/flags/s/sle.gif" TargetMode="External" /><Relationship Id="rId108" Type="http://schemas.openxmlformats.org/officeDocument/2006/relationships/image" Target="http://www.fifa.com/imgml/flags/s/fij.gif" TargetMode="External" /><Relationship Id="rId109" Type="http://schemas.openxmlformats.org/officeDocument/2006/relationships/image" Target="http://www.fifa.com/imgml/flags/s/isl.gif" TargetMode="External" /><Relationship Id="rId110" Type="http://schemas.openxmlformats.org/officeDocument/2006/relationships/image" Target="http://www.fifa.com/imgml/flags/s/bel.gif" TargetMode="External" /><Relationship Id="rId111" Type="http://schemas.openxmlformats.org/officeDocument/2006/relationships/image" Target="http://www.fifa.com/imgml/flags/s/mda.gif" TargetMode="External" /><Relationship Id="rId112" Type="http://schemas.openxmlformats.org/officeDocument/2006/relationships/image" Target="http://www.fifa.com/imgml/flags/s/mya.gif" TargetMode="External" /><Relationship Id="rId113" Type="http://schemas.openxmlformats.org/officeDocument/2006/relationships/image" Target="http://www.fifa.com/imgml/flags/s/sur.gif" TargetMode="External" /><Relationship Id="rId114" Type="http://schemas.openxmlformats.org/officeDocument/2006/relationships/image" Target="http://www.fifa.com/imgml/flags/s/mlt.gif" TargetMode="External" /><Relationship Id="rId115" Type="http://schemas.openxmlformats.org/officeDocument/2006/relationships/image" Target="http://www.fifa.com/imgml/flags/s/ben.gif" TargetMode="External" /><Relationship Id="rId116" Type="http://schemas.openxmlformats.org/officeDocument/2006/relationships/image" Target="http://www.fifa.com/imgml/flags/s/den.gif" TargetMode="External" /><Relationship Id="rId117" Type="http://schemas.openxmlformats.org/officeDocument/2006/relationships/image" Target="http://www.fifa.com/imgml/flags/s/isr.gif" TargetMode="External" /><Relationship Id="rId118" Type="http://schemas.openxmlformats.org/officeDocument/2006/relationships/image" Target="http://www.fifa.com/imgml/flags/s/aze.gif" TargetMode="External" /><Relationship Id="rId119" Type="http://schemas.openxmlformats.org/officeDocument/2006/relationships/image" Target="http://www.fifa.com/imgml/flags/s/arm.gif" TargetMode="External" /><Relationship Id="rId120" Type="http://schemas.openxmlformats.org/officeDocument/2006/relationships/image" Target="http://www.fifa.com/imgml/flags/s/tog.gif" TargetMode="External" /><Relationship Id="rId121" Type="http://schemas.openxmlformats.org/officeDocument/2006/relationships/image" Target="http://www.fifa.com/imgml/flags/s/slv.gif" TargetMode="External" /><Relationship Id="rId122" Type="http://schemas.openxmlformats.org/officeDocument/2006/relationships/image" Target="http://www.fifa.com/imgml/flags/s/pan.gif" TargetMode="External" /><Relationship Id="rId123" Type="http://schemas.openxmlformats.org/officeDocument/2006/relationships/image" Target="http://www.fifa.com/imgml/flags/s/mwi.gif" TargetMode="External" /><Relationship Id="rId124" Type="http://schemas.openxmlformats.org/officeDocument/2006/relationships/image" Target="http://www.fifa.com/imgml/flags/s/tri.gif" TargetMode="External" /><Relationship Id="rId125" Type="http://schemas.openxmlformats.org/officeDocument/2006/relationships/image" Target="http://www.fifa.com/imgml/flags/s/hai.gif" TargetMode="External" /><Relationship Id="rId126" Type="http://schemas.openxmlformats.org/officeDocument/2006/relationships/image" Target="http://www.fifa.com/imgml/flags/s/syr.gif" TargetMode="External" /><Relationship Id="rId127" Type="http://schemas.openxmlformats.org/officeDocument/2006/relationships/image" Target="http://www.fifa.com/imgml/flags/s/cpv.gif" TargetMode="External" /><Relationship Id="rId128" Type="http://schemas.openxmlformats.org/officeDocument/2006/relationships/image" Target="http://www.fifa.com/imgml/flags/s/yem.gif" TargetMode="External" /><Relationship Id="rId129" Type="http://schemas.openxmlformats.org/officeDocument/2006/relationships/image" Target="http://www.fifa.com/imgml/flags/s/fro.gif" TargetMode="External" /><Relationship Id="rId130" Type="http://schemas.openxmlformats.org/officeDocument/2006/relationships/image" Target="http://www.fifa.com/imgml/flags/s/bot.gif" TargetMode="External" /><Relationship Id="rId131" Type="http://schemas.openxmlformats.org/officeDocument/2006/relationships/image" Target="http://www.fifa.com/imgml/flags/s/sin.gif" TargetMode="External" /><Relationship Id="rId132" Type="http://schemas.openxmlformats.org/officeDocument/2006/relationships/image" Target="http://www.fifa.com/imgml/flags/s/gua.gif" TargetMode="External" /><Relationship Id="rId133" Type="http://schemas.openxmlformats.org/officeDocument/2006/relationships/image" Target="http://www.fifa.com/imgml/flags/s/tkm.gif" TargetMode="External" /><Relationship Id="rId134" Type="http://schemas.openxmlformats.org/officeDocument/2006/relationships/image" Target="http://www.fifa.com/imgml/flags/s/eqg.gif" TargetMode="External" /><Relationship Id="rId135" Type="http://schemas.openxmlformats.org/officeDocument/2006/relationships/image" Target="http://www.fifa.com/imgml/flags/s/ban.gif" TargetMode="External" /><Relationship Id="rId136" Type="http://schemas.openxmlformats.org/officeDocument/2006/relationships/image" Target="http://www.fifa.com/imgml/flags/s/bdi.gif" TargetMode="External" /><Relationship Id="rId137" Type="http://schemas.openxmlformats.org/officeDocument/2006/relationships/image" Target="http://www.fifa.com/imgml/flags/s/tjk.gif" TargetMode="External" /><Relationship Id="rId138" Type="http://schemas.openxmlformats.org/officeDocument/2006/relationships/image" Target="http://www.fifa.com/imgml/flags/s/lib.gif" TargetMode="External" /><Relationship Id="rId139" Type="http://schemas.openxmlformats.org/officeDocument/2006/relationships/image" Target="http://www.fifa.com/imgml/flags/s/cub.gif" TargetMode="External" /><Relationship Id="rId140" Type="http://schemas.openxmlformats.org/officeDocument/2006/relationships/image" Target="http://www.fifa.com/imgml/flags/s/swz.gif" TargetMode="External" /><Relationship Id="rId141" Type="http://schemas.openxmlformats.org/officeDocument/2006/relationships/image" Target="http://www.fifa.com/imgml/flags/s/pak.gif" TargetMode="External" /><Relationship Id="rId142" Type="http://schemas.openxmlformats.org/officeDocument/2006/relationships/image" Target="http://www.fifa.com/imgml/flags/s/nep.gif" TargetMode="External" /><Relationship Id="rId143" Type="http://schemas.openxmlformats.org/officeDocument/2006/relationships/image" Target="http://www.fifa.com/imgml/flags/s/sri.gif" TargetMode="External" /><Relationship Id="rId144" Type="http://schemas.openxmlformats.org/officeDocument/2006/relationships/image" Target="http://www.fifa.com/imgml/flags/s/kgz.gif" TargetMode="External" /><Relationship Id="rId145" Type="http://schemas.openxmlformats.org/officeDocument/2006/relationships/image" Target="http://www.fifa.com/imgml/flags/s/lbr.gif" TargetMode="External" /><Relationship Id="rId146" Type="http://schemas.openxmlformats.org/officeDocument/2006/relationships/image" Target="http://www.fifa.com/imgml/flags/s/mtn.gif" TargetMode="External" /><Relationship Id="rId147" Type="http://schemas.openxmlformats.org/officeDocument/2006/relationships/image" Target="http://www.fifa.com/imgml/flags/s/lux.gif" TargetMode="External" /><Relationship Id="rId148" Type="http://schemas.openxmlformats.org/officeDocument/2006/relationships/image" Target="http://www.fifa.com/imgml/flags/s/idn.gif" TargetMode="External" /><Relationship Id="rId149" Type="http://schemas.openxmlformats.org/officeDocument/2006/relationships/image" Target="http://www.fifa.com/imgml/flags/s/mad.gif" TargetMode="External" /><Relationship Id="rId150" Type="http://schemas.openxmlformats.org/officeDocument/2006/relationships/image" Target="http://www.fifa.com/imgml/flags/s/guy.gif" TargetMode="External" /><Relationship Id="rId151" Type="http://schemas.openxmlformats.org/officeDocument/2006/relationships/image" Target="http://www.fifa.com/imgml/flags/s/atg.gif" TargetMode="External" /><Relationship Id="rId152" Type="http://schemas.openxmlformats.org/officeDocument/2006/relationships/image" Target="http://www.fifa.com/imgml/flags/s/brb.gif" TargetMode="External" /><Relationship Id="rId153" Type="http://schemas.openxmlformats.org/officeDocument/2006/relationships/image" Target="http://www.fifa.com/imgml/flags/s/grn.gif" TargetMode="External" /><Relationship Id="rId154" Type="http://schemas.openxmlformats.org/officeDocument/2006/relationships/image" Target="http://www.fifa.com/imgml/flags/s/ber.gif" TargetMode="External" /><Relationship Id="rId155" Type="http://schemas.openxmlformats.org/officeDocument/2006/relationships/image" Target="http://www.fifa.com/imgml/flags/s/hkg.gif" TargetMode="External" /><Relationship Id="rId156" Type="http://schemas.openxmlformats.org/officeDocument/2006/relationships/image" Target="http://www.fifa.com/imgml/flags/s/mdv.gif" TargetMode="External" /><Relationship Id="rId157" Type="http://schemas.openxmlformats.org/officeDocument/2006/relationships/image" Target="http://www.fifa.com/imgml/flags/s/ncl.gif" TargetMode="External" /><Relationship Id="rId158" Type="http://schemas.openxmlformats.org/officeDocument/2006/relationships/image" Target="http://www.fifa.com/imgml/flags/s/les.gif" TargetMode="External" /><Relationship Id="rId159" Type="http://schemas.openxmlformats.org/officeDocument/2006/relationships/image" Target="http://www.fifa.com/imgml/flags/s/nig.gif" TargetMode="External" /><Relationship Id="rId160" Type="http://schemas.openxmlformats.org/officeDocument/2006/relationships/image" Target="http://www.fifa.com/imgml/flags/s/cam.gif" TargetMode="External" /><Relationship Id="rId161" Type="http://schemas.openxmlformats.org/officeDocument/2006/relationships/image" Target="http://www.fifa.com/imgml/flags/s/mri.gif" TargetMode="External" /><Relationship Id="rId162" Type="http://schemas.openxmlformats.org/officeDocument/2006/relationships/image" Target="http://www.fifa.com/imgml/flags/s/som.gif" TargetMode="External" /><Relationship Id="rId163" Type="http://schemas.openxmlformats.org/officeDocument/2006/relationships/image" Target="http://www.fifa.com/imgml/flags/s/cta.gif" TargetMode="External" /><Relationship Id="rId164" Type="http://schemas.openxmlformats.org/officeDocument/2006/relationships/image" Target="http://www.fifa.com/imgml/flags/s/lie.gif" TargetMode="External" /><Relationship Id="rId165" Type="http://schemas.openxmlformats.org/officeDocument/2006/relationships/image" Target="http://www.fifa.com/imgml/flags/s/van.gif" TargetMode="External" /><Relationship Id="rId166" Type="http://schemas.openxmlformats.org/officeDocument/2006/relationships/image" Target="http://www.fifa.com/imgml/flags/s/skn.gif" TargetMode="External" /><Relationship Id="rId167" Type="http://schemas.openxmlformats.org/officeDocument/2006/relationships/image" Target="http://www.fifa.com/imgml/flags/s/mas.gif" TargetMode="External" /><Relationship Id="rId168" Type="http://schemas.openxmlformats.org/officeDocument/2006/relationships/image" Target="http://www.fifa.com/imgml/flags/s/nca.gif" TargetMode="External" /><Relationship Id="rId169" Type="http://schemas.openxmlformats.org/officeDocument/2006/relationships/image" Target="http://www.fifa.com/imgml/flags/s/pur.gif" TargetMode="External" /><Relationship Id="rId170" Type="http://schemas.openxmlformats.org/officeDocument/2006/relationships/image" Target="http://www.fifa.com/imgml/flags/s/phi.gif" TargetMode="External" /><Relationship Id="rId171" Type="http://schemas.openxmlformats.org/officeDocument/2006/relationships/image" Target="http://www.fifa.com/imgml/flags/s/vin.gif" TargetMode="External" /><Relationship Id="rId172" Type="http://schemas.openxmlformats.org/officeDocument/2006/relationships/image" Target="http://www.fifa.com/imgml/flags/s/ant.gif" TargetMode="External" /><Relationship Id="rId173" Type="http://schemas.openxmlformats.org/officeDocument/2006/relationships/image" Target="http://www.fifa.com/imgml/flags/s/sol.gif" TargetMode="External" /><Relationship Id="rId174" Type="http://schemas.openxmlformats.org/officeDocument/2006/relationships/image" Target="http://www.fifa.com/imgml/flags/s/ple.gif" TargetMode="External" /><Relationship Id="rId175" Type="http://schemas.openxmlformats.org/officeDocument/2006/relationships/image" Target="http://www.fifa.com/imgml/flags/s/tca.gif" TargetMode="External" /><Relationship Id="rId176" Type="http://schemas.openxmlformats.org/officeDocument/2006/relationships/image" Target="http://www.fifa.com/imgml/flags/s/sey.gif" TargetMode="External" /><Relationship Id="rId177" Type="http://schemas.openxmlformats.org/officeDocument/2006/relationships/image" Target="http://www.fifa.com/imgml/flags/s/com.gif" TargetMode="External" /><Relationship Id="rId178" Type="http://schemas.openxmlformats.org/officeDocument/2006/relationships/image" Target="http://www.fifa.com/imgml/flags/s/bah.gif" TargetMode="External" /><Relationship Id="rId179" Type="http://schemas.openxmlformats.org/officeDocument/2006/relationships/image" Target="http://www.fifa.com/imgml/flags/s/cay.gif" TargetMode="External" /><Relationship Id="rId180" Type="http://schemas.openxmlformats.org/officeDocument/2006/relationships/image" Target="http://www.fifa.com/imgml/flags/s/dma.gif" TargetMode="External" /><Relationship Id="rId181" Type="http://schemas.openxmlformats.org/officeDocument/2006/relationships/image" Target="http://www.fifa.com/imgml/flags/s/and.gif" TargetMode="External" /><Relationship Id="rId182" Type="http://schemas.openxmlformats.org/officeDocument/2006/relationships/image" Target="http://www.fifa.com/imgml/flags/s/sam.gif" TargetMode="External" /><Relationship Id="rId183" Type="http://schemas.openxmlformats.org/officeDocument/2006/relationships/image" Target="http://www.fifa.com/imgml/flags/s/gum.gif" TargetMode="External" /><Relationship Id="rId184" Type="http://schemas.openxmlformats.org/officeDocument/2006/relationships/image" Target="http://www.fifa.com/imgml/flags/s/cok.gif" TargetMode="External" /><Relationship Id="rId185" Type="http://schemas.openxmlformats.org/officeDocument/2006/relationships/image" Target="http://www.fifa.com/imgml/flags/s/blz.gif" TargetMode="External" /><Relationship Id="rId186" Type="http://schemas.openxmlformats.org/officeDocument/2006/relationships/image" Target="http://www.fifa.com/imgml/flags/s/lca.gif" TargetMode="External" /><Relationship Id="rId187" Type="http://schemas.openxmlformats.org/officeDocument/2006/relationships/image" Target="http://www.fifa.com/imgml/flags/s/mac.gif" TargetMode="External" /><Relationship Id="rId188" Type="http://schemas.openxmlformats.org/officeDocument/2006/relationships/image" Target="http://www.fifa.com/imgml/flags/s/tga.gif" TargetMode="External" /><Relationship Id="rId189" Type="http://schemas.openxmlformats.org/officeDocument/2006/relationships/image" Target="http://www.fifa.com/imgml/flags/s/dom.gif" TargetMode="External" /><Relationship Id="rId190" Type="http://schemas.openxmlformats.org/officeDocument/2006/relationships/image" Target="http://www.fifa.com/imgml/flags/s/bru.gif" TargetMode="External" /><Relationship Id="rId191" Type="http://schemas.openxmlformats.org/officeDocument/2006/relationships/image" Target="http://www.fifa.com/imgml/flags/s/vgb.gif" TargetMode="External" /><Relationship Id="rId192" Type="http://schemas.openxmlformats.org/officeDocument/2006/relationships/image" Target="http://www.fifa.com/imgml/flags/s/dji.gif" TargetMode="External" /><Relationship Id="rId193" Type="http://schemas.openxmlformats.org/officeDocument/2006/relationships/image" Target="http://www.fifa.com/imgml/flags/s/afg.gif" TargetMode="External" /><Relationship Id="rId194" Type="http://schemas.openxmlformats.org/officeDocument/2006/relationships/image" Target="http://www.fifa.com/imgml/flags/s/tah.gif" TargetMode="External" /><Relationship Id="rId195" Type="http://schemas.openxmlformats.org/officeDocument/2006/relationships/image" Target="http://www.fifa.com/imgml/flags/s/bhu.gif" TargetMode="External" /><Relationship Id="rId196" Type="http://schemas.openxmlformats.org/officeDocument/2006/relationships/image" Target="http://www.fifa.com/imgml/flags/s/aru.gif" TargetMode="External" /><Relationship Id="rId197" Type="http://schemas.openxmlformats.org/officeDocument/2006/relationships/image" Target="http://www.fifa.com/imgml/flags/s/smr.gif" TargetMode="External" /><Relationship Id="rId198" Type="http://schemas.openxmlformats.org/officeDocument/2006/relationships/image" Target="http://www.fifa.com/imgml/flags/s/vir.gif" TargetMode="External" /><Relationship Id="rId199" Type="http://schemas.openxmlformats.org/officeDocument/2006/relationships/image" Target="http://www.fifa.com/imgml/flags/s/tl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1</xdr:row>
      <xdr:rowOff>133350</xdr:rowOff>
    </xdr:to>
    <xdr:pic>
      <xdr:nvPicPr>
        <xdr:cNvPr id="1" name="Picture 1" descr="Camero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1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123825</xdr:rowOff>
    </xdr:to>
    <xdr:pic>
      <xdr:nvPicPr>
        <xdr:cNvPr id="2" name="Picture 2" descr="Niger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495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pic>
      <xdr:nvPicPr>
        <xdr:cNvPr id="3" name="Picture 3" descr="Spai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657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123825</xdr:rowOff>
    </xdr:to>
    <xdr:pic>
      <xdr:nvPicPr>
        <xdr:cNvPr id="4" name="Picture 4" descr="Brazil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819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123825</xdr:rowOff>
    </xdr:to>
    <xdr:pic>
      <xdr:nvPicPr>
        <xdr:cNvPr id="5" name="Picture 5" descr="Argentina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81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123825</xdr:rowOff>
    </xdr:to>
    <xdr:pic>
      <xdr:nvPicPr>
        <xdr:cNvPr id="6" name="Picture 6" descr="Ethiopia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143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123825</xdr:rowOff>
    </xdr:to>
    <xdr:pic>
      <xdr:nvPicPr>
        <xdr:cNvPr id="7" name="Picture 7" descr="Zambia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304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pic>
      <xdr:nvPicPr>
        <xdr:cNvPr id="8" name="Picture 8" descr="Ghana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466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pic>
      <xdr:nvPicPr>
        <xdr:cNvPr id="9" name="Picture 9" descr="Poland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628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123825</xdr:rowOff>
    </xdr:to>
    <xdr:pic>
      <xdr:nvPicPr>
        <xdr:cNvPr id="10" name="Picture 10" descr="Uruguay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790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123825</xdr:rowOff>
    </xdr:to>
    <xdr:pic>
      <xdr:nvPicPr>
        <xdr:cNvPr id="11" name="Picture 11" descr="Egypt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1952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123825</xdr:rowOff>
    </xdr:to>
    <xdr:pic>
      <xdr:nvPicPr>
        <xdr:cNvPr id="12" name="Picture 12" descr="Ecuador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2114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123825</xdr:rowOff>
    </xdr:to>
    <xdr:pic>
      <xdr:nvPicPr>
        <xdr:cNvPr id="13" name="Picture 13" descr="Italy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2276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123825</xdr:rowOff>
    </xdr:to>
    <xdr:pic>
      <xdr:nvPicPr>
        <xdr:cNvPr id="14" name="Picture 14" descr="Saudi Arabia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2438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123825</xdr:rowOff>
    </xdr:to>
    <xdr:pic>
      <xdr:nvPicPr>
        <xdr:cNvPr id="15" name="Picture 15" descr="Czech Republic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2600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123825</xdr:rowOff>
    </xdr:to>
    <xdr:pic>
      <xdr:nvPicPr>
        <xdr:cNvPr id="16" name="Picture 16" descr="Germany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2762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123825</xdr:rowOff>
    </xdr:to>
    <xdr:pic>
      <xdr:nvPicPr>
        <xdr:cNvPr id="17" name="Picture 17" descr="Algeria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2924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123825</xdr:rowOff>
    </xdr:to>
    <xdr:pic>
      <xdr:nvPicPr>
        <xdr:cNvPr id="18" name="Picture 18" descr="USA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3086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123825</xdr:rowOff>
    </xdr:to>
    <xdr:pic>
      <xdr:nvPicPr>
        <xdr:cNvPr id="19" name="Picture 19" descr="Australia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3248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123825</xdr:rowOff>
    </xdr:to>
    <xdr:pic>
      <xdr:nvPicPr>
        <xdr:cNvPr id="20" name="Picture 20" descr="Kenya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3409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123825</xdr:rowOff>
    </xdr:to>
    <xdr:pic>
      <xdr:nvPicPr>
        <xdr:cNvPr id="21" name="Picture 21" descr="Senegal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3571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123825</xdr:rowOff>
    </xdr:to>
    <xdr:pic>
      <xdr:nvPicPr>
        <xdr:cNvPr id="22" name="Picture 22" descr="Côte d'Ivoire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3733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123825</xdr:rowOff>
    </xdr:to>
    <xdr:pic>
      <xdr:nvPicPr>
        <xdr:cNvPr id="23" name="Picture 23" descr="Colombia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3895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123825</xdr:rowOff>
    </xdr:to>
    <xdr:pic>
      <xdr:nvPicPr>
        <xdr:cNvPr id="24" name="Picture 24" descr="Ukraine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405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123825</xdr:rowOff>
    </xdr:to>
    <xdr:pic>
      <xdr:nvPicPr>
        <xdr:cNvPr id="25" name="Picture 25" descr="Tunisia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4219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123825</xdr:rowOff>
    </xdr:to>
    <xdr:pic>
      <xdr:nvPicPr>
        <xdr:cNvPr id="26" name="Picture 26" descr="Morocco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4381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123825</xdr:rowOff>
    </xdr:to>
    <xdr:pic>
      <xdr:nvPicPr>
        <xdr:cNvPr id="27" name="Picture 27" descr="China PR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454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123825</xdr:rowOff>
    </xdr:to>
    <xdr:pic>
      <xdr:nvPicPr>
        <xdr:cNvPr id="28" name="Picture 28" descr="France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4705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123825</xdr:rowOff>
    </xdr:to>
    <xdr:pic>
      <xdr:nvPicPr>
        <xdr:cNvPr id="29" name="Picture 29" descr="Angola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4867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123825</xdr:rowOff>
    </xdr:to>
    <xdr:pic>
      <xdr:nvPicPr>
        <xdr:cNvPr id="30" name="Picture 30" descr="Russia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502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123825</xdr:rowOff>
    </xdr:to>
    <xdr:pic>
      <xdr:nvPicPr>
        <xdr:cNvPr id="31" name="Picture 31" descr="Chile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5191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123825</xdr:rowOff>
    </xdr:to>
    <xdr:pic>
      <xdr:nvPicPr>
        <xdr:cNvPr id="32" name="Picture 32" descr="Slovakia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5353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123825</xdr:rowOff>
    </xdr:to>
    <xdr:pic>
      <xdr:nvPicPr>
        <xdr:cNvPr id="33" name="Picture 33" descr="Japan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5514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123825</xdr:rowOff>
    </xdr:to>
    <xdr:pic>
      <xdr:nvPicPr>
        <xdr:cNvPr id="34" name="Picture 34" descr="Gabon"/>
        <xdr:cNvPicPr preferRelativeResize="1">
          <a:picLocks noChangeAspect="1"/>
        </xdr:cNvPicPr>
      </xdr:nvPicPr>
      <xdr:blipFill>
        <a:blip r:link="rId34"/>
        <a:stretch>
          <a:fillRect/>
        </a:stretch>
      </xdr:blipFill>
      <xdr:spPr>
        <a:xfrm>
          <a:off x="0" y="5676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123825</xdr:rowOff>
    </xdr:to>
    <xdr:pic>
      <xdr:nvPicPr>
        <xdr:cNvPr id="35" name="Picture 35" descr="Costa Rica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5838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123825</xdr:rowOff>
    </xdr:to>
    <xdr:pic>
      <xdr:nvPicPr>
        <xdr:cNvPr id="36" name="Picture 36" descr="Lithuania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6000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123825</xdr:rowOff>
    </xdr:to>
    <xdr:pic>
      <xdr:nvPicPr>
        <xdr:cNvPr id="37" name="Picture 37" descr="Paraguay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6162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123825</xdr:rowOff>
    </xdr:to>
    <xdr:pic>
      <xdr:nvPicPr>
        <xdr:cNvPr id="38" name="Picture 38" descr="Mexico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6324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123825</xdr:rowOff>
    </xdr:to>
    <xdr:pic>
      <xdr:nvPicPr>
        <xdr:cNvPr id="39" name="Picture 39" descr="Romania"/>
        <xdr:cNvPicPr preferRelativeResize="1">
          <a:picLocks noChangeAspect="1"/>
        </xdr:cNvPicPr>
      </xdr:nvPicPr>
      <xdr:blipFill>
        <a:blip r:link="rId39"/>
        <a:stretch>
          <a:fillRect/>
        </a:stretch>
      </xdr:blipFill>
      <xdr:spPr>
        <a:xfrm>
          <a:off x="0" y="6486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123825</xdr:rowOff>
    </xdr:to>
    <xdr:pic>
      <xdr:nvPicPr>
        <xdr:cNvPr id="40" name="Picture 40" descr="Venezuela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6648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123825</xdr:rowOff>
    </xdr:to>
    <xdr:pic>
      <xdr:nvPicPr>
        <xdr:cNvPr id="41" name="Picture 41" descr="Honduras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6810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123825</xdr:rowOff>
    </xdr:to>
    <xdr:pic>
      <xdr:nvPicPr>
        <xdr:cNvPr id="42" name="Picture 42" descr="Montenegro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123825</xdr:rowOff>
    </xdr:to>
    <xdr:pic>
      <xdr:nvPicPr>
        <xdr:cNvPr id="43" name="Picture 43" descr="Korea Republic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7134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123825</xdr:rowOff>
    </xdr:to>
    <xdr:pic>
      <xdr:nvPicPr>
        <xdr:cNvPr id="44" name="Picture 44" descr="Burkina Faso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7296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123825</xdr:rowOff>
    </xdr:to>
    <xdr:pic>
      <xdr:nvPicPr>
        <xdr:cNvPr id="45" name="Picture 45" descr="Latvia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7458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123825</xdr:rowOff>
    </xdr:to>
    <xdr:pic>
      <xdr:nvPicPr>
        <xdr:cNvPr id="46" name="Picture 46" descr="Belarus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7620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123825</xdr:rowOff>
    </xdr:to>
    <xdr:pic>
      <xdr:nvPicPr>
        <xdr:cNvPr id="47" name="Picture 47" descr="Norway"/>
        <xdr:cNvPicPr preferRelativeResize="1">
          <a:picLocks noChangeAspect="1"/>
        </xdr:cNvPicPr>
      </xdr:nvPicPr>
      <xdr:blipFill>
        <a:blip r:link="rId47"/>
        <a:stretch>
          <a:fillRect/>
        </a:stretch>
      </xdr:blipFill>
      <xdr:spPr>
        <a:xfrm>
          <a:off x="0" y="7781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123825</xdr:rowOff>
    </xdr:to>
    <xdr:pic>
      <xdr:nvPicPr>
        <xdr:cNvPr id="48" name="Picture 48" descr="Estonia"/>
        <xdr:cNvPicPr preferRelativeResize="1">
          <a:picLocks noChangeAspect="1"/>
        </xdr:cNvPicPr>
      </xdr:nvPicPr>
      <xdr:blipFill>
        <a:blip r:link="rId48"/>
        <a:stretch>
          <a:fillRect/>
        </a:stretch>
      </xdr:blipFill>
      <xdr:spPr>
        <a:xfrm>
          <a:off x="0" y="7943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123825</xdr:rowOff>
    </xdr:to>
    <xdr:pic>
      <xdr:nvPicPr>
        <xdr:cNvPr id="49" name="Picture 49" descr="Netherlands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8105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123825</xdr:rowOff>
    </xdr:to>
    <xdr:pic>
      <xdr:nvPicPr>
        <xdr:cNvPr id="50" name="Picture 50" descr="England"/>
        <xdr:cNvPicPr preferRelativeResize="1">
          <a:picLocks noChangeAspect="1"/>
        </xdr:cNvPicPr>
      </xdr:nvPicPr>
      <xdr:blipFill>
        <a:blip r:link="rId50"/>
        <a:stretch>
          <a:fillRect/>
        </a:stretch>
      </xdr:blipFill>
      <xdr:spPr>
        <a:xfrm>
          <a:off x="0" y="8267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123825</xdr:rowOff>
    </xdr:to>
    <xdr:pic>
      <xdr:nvPicPr>
        <xdr:cNvPr id="51" name="Picture 51" descr="Serbia"/>
        <xdr:cNvPicPr preferRelativeResize="1">
          <a:picLocks noChangeAspect="1"/>
        </xdr:cNvPicPr>
      </xdr:nvPicPr>
      <xdr:blipFill>
        <a:blip r:link="rId51"/>
        <a:stretch>
          <a:fillRect/>
        </a:stretch>
      </xdr:blipFill>
      <xdr:spPr>
        <a:xfrm>
          <a:off x="0" y="8429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123825</xdr:rowOff>
    </xdr:to>
    <xdr:pic>
      <xdr:nvPicPr>
        <xdr:cNvPr id="52" name="Picture 52" descr="Hungary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8591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3" name="Picture 53" descr="Mozambique"/>
        <xdr:cNvPicPr preferRelativeResize="1">
          <a:picLocks noChangeAspect="1"/>
        </xdr:cNvPicPr>
      </xdr:nvPicPr>
      <xdr:blipFill>
        <a:blip r:link="rId5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4" name="Picture 54" descr="South Africa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5" name="Picture 55" descr="Jamaica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6" name="Picture 56" descr="New Zealand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7" name="Picture 57" descr="FYR Macedonia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8" name="Picture 58" descr="Greece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9" name="Picture 59" descr="Portugal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0" name="Picture 60" descr="Mali"/>
        <xdr:cNvPicPr preferRelativeResize="1">
          <a:picLocks noChangeAspect="1"/>
        </xdr:cNvPicPr>
      </xdr:nvPicPr>
      <xdr:blipFill>
        <a:blip r:link="rId6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1" name="Picture 61" descr="Bosnia-Herzegovina"/>
        <xdr:cNvPicPr preferRelativeResize="1">
          <a:picLocks noChangeAspect="1"/>
        </xdr:cNvPicPr>
      </xdr:nvPicPr>
      <xdr:blipFill>
        <a:blip r:link="rId6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2" name="Picture 62" descr="Turkey"/>
        <xdr:cNvPicPr preferRelativeResize="1">
          <a:picLocks noChangeAspect="1"/>
        </xdr:cNvPicPr>
      </xdr:nvPicPr>
      <xdr:blipFill>
        <a:blip r:link="rId6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3" name="Picture 63" descr="Iran"/>
        <xdr:cNvPicPr preferRelativeResize="1">
          <a:picLocks noChangeAspect="1"/>
        </xdr:cNvPicPr>
      </xdr:nvPicPr>
      <xdr:blipFill>
        <a:blip r:link="rId6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4" name="Picture 64" descr="Peru"/>
        <xdr:cNvPicPr preferRelativeResize="1">
          <a:picLocks noChangeAspect="1"/>
        </xdr:cNvPicPr>
      </xdr:nvPicPr>
      <xdr:blipFill>
        <a:blip r:link="rId6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5" name="Picture 65" descr="Sweden"/>
        <xdr:cNvPicPr preferRelativeResize="1">
          <a:picLocks noChangeAspect="1"/>
        </xdr:cNvPicPr>
      </xdr:nvPicPr>
      <xdr:blipFill>
        <a:blip r:link="rId6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6" name="Picture 66" descr="Guinea"/>
        <xdr:cNvPicPr preferRelativeResize="1">
          <a:picLocks noChangeAspect="1"/>
        </xdr:cNvPicPr>
      </xdr:nvPicPr>
      <xdr:blipFill>
        <a:blip r:link="rId6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7" name="Picture 67" descr="Uganda"/>
        <xdr:cNvPicPr preferRelativeResize="1">
          <a:picLocks noChangeAspect="1"/>
        </xdr:cNvPicPr>
      </xdr:nvPicPr>
      <xdr:blipFill>
        <a:blip r:link="rId6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8" name="Picture 68" descr="Qatar"/>
        <xdr:cNvPicPr preferRelativeResize="1">
          <a:picLocks noChangeAspect="1"/>
        </xdr:cNvPicPr>
      </xdr:nvPicPr>
      <xdr:blipFill>
        <a:blip r:link="rId6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69" name="Picture 69" descr="Kuwait"/>
        <xdr:cNvPicPr preferRelativeResize="1">
          <a:picLocks noChangeAspect="1"/>
        </xdr:cNvPicPr>
      </xdr:nvPicPr>
      <xdr:blipFill>
        <a:blip r:link="rId6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0" name="Picture 70" descr="Oman"/>
        <xdr:cNvPicPr preferRelativeResize="1">
          <a:picLocks noChangeAspect="1"/>
        </xdr:cNvPicPr>
      </xdr:nvPicPr>
      <xdr:blipFill>
        <a:blip r:link="rId7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1" name="Picture 71" descr="Albania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2" name="Picture 72" descr="Canada"/>
        <xdr:cNvPicPr preferRelativeResize="1">
          <a:picLocks noChangeAspect="1"/>
        </xdr:cNvPicPr>
      </xdr:nvPicPr>
      <xdr:blipFill>
        <a:blip r:link="rId7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3" name="Picture 73" descr="Bolivia"/>
        <xdr:cNvPicPr preferRelativeResize="1">
          <a:picLocks noChangeAspect="1"/>
        </xdr:cNvPicPr>
      </xdr:nvPicPr>
      <xdr:blipFill>
        <a:blip r:link="rId7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4" name="Picture 74" descr="Congo"/>
        <xdr:cNvPicPr preferRelativeResize="1">
          <a:picLocks noChangeAspect="1"/>
        </xdr:cNvPicPr>
      </xdr:nvPicPr>
      <xdr:blipFill>
        <a:blip r:link="rId7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5" name="Picture 75" descr="Libya"/>
        <xdr:cNvPicPr preferRelativeResize="1">
          <a:picLocks noChangeAspect="1"/>
        </xdr:cNvPicPr>
      </xdr:nvPicPr>
      <xdr:blipFill>
        <a:blip r:link="rId7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6" name="Picture 76" descr="Zimbabwe"/>
        <xdr:cNvPicPr preferRelativeResize="1">
          <a:picLocks noChangeAspect="1"/>
        </xdr:cNvPicPr>
      </xdr:nvPicPr>
      <xdr:blipFill>
        <a:blip r:link="rId7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7" name="Picture 77" descr="Slovenia"/>
        <xdr:cNvPicPr preferRelativeResize="1">
          <a:picLocks noChangeAspect="1"/>
        </xdr:cNvPicPr>
      </xdr:nvPicPr>
      <xdr:blipFill>
        <a:blip r:link="rId7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8" name="Picture 78" descr="Croatia"/>
        <xdr:cNvPicPr preferRelativeResize="1">
          <a:picLocks noChangeAspect="1"/>
        </xdr:cNvPicPr>
      </xdr:nvPicPr>
      <xdr:blipFill>
        <a:blip r:link="rId7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79" name="Picture 79" descr="Bulgaria"/>
        <xdr:cNvPicPr preferRelativeResize="1">
          <a:picLocks noChangeAspect="1"/>
        </xdr:cNvPicPr>
      </xdr:nvPicPr>
      <xdr:blipFill>
        <a:blip r:link="rId7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0" name="Picture 80" descr="Bahrain"/>
        <xdr:cNvPicPr preferRelativeResize="1">
          <a:picLocks noChangeAspect="1"/>
        </xdr:cNvPicPr>
      </xdr:nvPicPr>
      <xdr:blipFill>
        <a:blip r:link="rId8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1" name="Picture 81" descr="Thailand"/>
        <xdr:cNvPicPr preferRelativeResize="1">
          <a:picLocks noChangeAspect="1"/>
        </xdr:cNvPicPr>
      </xdr:nvPicPr>
      <xdr:blipFill>
        <a:blip r:link="rId8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2" name="Picture 82" descr="Gambia"/>
        <xdr:cNvPicPr preferRelativeResize="1">
          <a:picLocks noChangeAspect="1"/>
        </xdr:cNvPicPr>
      </xdr:nvPicPr>
      <xdr:blipFill>
        <a:blip r:link="rId8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3" name="Picture 83" descr="Cyprus"/>
        <xdr:cNvPicPr preferRelativeResize="1">
          <a:picLocks noChangeAspect="1"/>
        </xdr:cNvPicPr>
      </xdr:nvPicPr>
      <xdr:blipFill>
        <a:blip r:link="rId8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4" name="Picture 84" descr="Austria"/>
        <xdr:cNvPicPr preferRelativeResize="1">
          <a:picLocks noChangeAspect="1"/>
        </xdr:cNvPicPr>
      </xdr:nvPicPr>
      <xdr:blipFill>
        <a:blip r:link="rId8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5" name="Picture 85" descr="Finland"/>
        <xdr:cNvPicPr preferRelativeResize="1">
          <a:picLocks noChangeAspect="1"/>
        </xdr:cNvPicPr>
      </xdr:nvPicPr>
      <xdr:blipFill>
        <a:blip r:link="rId8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6" name="Picture 86" descr="Republic of Ireland"/>
        <xdr:cNvPicPr preferRelativeResize="1">
          <a:picLocks noChangeAspect="1"/>
        </xdr:cNvPicPr>
      </xdr:nvPicPr>
      <xdr:blipFill>
        <a:blip r:link="rId8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7" name="Picture 87" descr="Korea DPR"/>
        <xdr:cNvPicPr preferRelativeResize="1">
          <a:picLocks noChangeAspect="1"/>
        </xdr:cNvPicPr>
      </xdr:nvPicPr>
      <xdr:blipFill>
        <a:blip r:link="rId8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8" name="Picture 88" descr="Tanzania"/>
        <xdr:cNvPicPr preferRelativeResize="1">
          <a:picLocks noChangeAspect="1"/>
        </xdr:cNvPicPr>
      </xdr:nvPicPr>
      <xdr:blipFill>
        <a:blip r:link="rId8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89" name="Picture 89" descr="Vietnam"/>
        <xdr:cNvPicPr preferRelativeResize="1">
          <a:picLocks noChangeAspect="1"/>
        </xdr:cNvPicPr>
      </xdr:nvPicPr>
      <xdr:blipFill>
        <a:blip r:link="rId8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0" name="Picture 90" descr="Kazakhstan"/>
        <xdr:cNvPicPr preferRelativeResize="1">
          <a:picLocks noChangeAspect="1"/>
        </xdr:cNvPicPr>
      </xdr:nvPicPr>
      <xdr:blipFill>
        <a:blip r:link="rId9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1" name="Picture 91" descr="Laos"/>
        <xdr:cNvPicPr preferRelativeResize="1">
          <a:picLocks noChangeAspect="1"/>
        </xdr:cNvPicPr>
      </xdr:nvPicPr>
      <xdr:blipFill>
        <a:blip r:link="rId9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2" name="Picture 92" descr="Guinea-Bissau"/>
        <xdr:cNvPicPr preferRelativeResize="1">
          <a:picLocks noChangeAspect="1"/>
        </xdr:cNvPicPr>
      </xdr:nvPicPr>
      <xdr:blipFill>
        <a:blip r:link="rId9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3" name="Picture 93" descr="Switzerland"/>
        <xdr:cNvPicPr preferRelativeResize="1">
          <a:picLocks noChangeAspect="1"/>
        </xdr:cNvPicPr>
      </xdr:nvPicPr>
      <xdr:blipFill>
        <a:blip r:link="rId9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4" name="Picture 94" descr="Georgia"/>
        <xdr:cNvPicPr preferRelativeResize="1">
          <a:picLocks noChangeAspect="1"/>
        </xdr:cNvPicPr>
      </xdr:nvPicPr>
      <xdr:blipFill>
        <a:blip r:link="rId9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5" name="Picture 95" descr="Congo DR"/>
        <xdr:cNvPicPr preferRelativeResize="1">
          <a:picLocks noChangeAspect="1"/>
        </xdr:cNvPicPr>
      </xdr:nvPicPr>
      <xdr:blipFill>
        <a:blip r:link="rId9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6" name="Picture 96" descr="Jordan"/>
        <xdr:cNvPicPr preferRelativeResize="1">
          <a:picLocks noChangeAspect="1"/>
        </xdr:cNvPicPr>
      </xdr:nvPicPr>
      <xdr:blipFill>
        <a:blip r:link="rId9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7" name="Picture 97" descr="Rwanda"/>
        <xdr:cNvPicPr preferRelativeResize="1">
          <a:picLocks noChangeAspect="1"/>
        </xdr:cNvPicPr>
      </xdr:nvPicPr>
      <xdr:blipFill>
        <a:blip r:link="rId9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8" name="Picture 98" descr="Sudan"/>
        <xdr:cNvPicPr preferRelativeResize="1">
          <a:picLocks noChangeAspect="1"/>
        </xdr:cNvPicPr>
      </xdr:nvPicPr>
      <xdr:blipFill>
        <a:blip r:link="rId9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99" name="Picture 99" descr="Namibia"/>
        <xdr:cNvPicPr preferRelativeResize="1">
          <a:picLocks noChangeAspect="1"/>
        </xdr:cNvPicPr>
      </xdr:nvPicPr>
      <xdr:blipFill>
        <a:blip r:link="rId9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0" name="Picture 100" descr="United Arab Emirates"/>
        <xdr:cNvPicPr preferRelativeResize="1">
          <a:picLocks noChangeAspect="1"/>
        </xdr:cNvPicPr>
      </xdr:nvPicPr>
      <xdr:blipFill>
        <a:blip r:link="rId10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1" name="Picture 101" descr="Iraq"/>
        <xdr:cNvPicPr preferRelativeResize="1">
          <a:picLocks noChangeAspect="1"/>
        </xdr:cNvPicPr>
      </xdr:nvPicPr>
      <xdr:blipFill>
        <a:blip r:link="rId10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2" name="Picture 102" descr="Uzbekistan"/>
        <xdr:cNvPicPr preferRelativeResize="1">
          <a:picLocks noChangeAspect="1"/>
        </xdr:cNvPicPr>
      </xdr:nvPicPr>
      <xdr:blipFill>
        <a:blip r:link="rId10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3" name="Picture 103" descr="Chad"/>
        <xdr:cNvPicPr preferRelativeResize="1">
          <a:picLocks noChangeAspect="1"/>
        </xdr:cNvPicPr>
      </xdr:nvPicPr>
      <xdr:blipFill>
        <a:blip r:link="rId10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4" name="Picture 104" descr="India"/>
        <xdr:cNvPicPr preferRelativeResize="1">
          <a:picLocks noChangeAspect="1"/>
        </xdr:cNvPicPr>
      </xdr:nvPicPr>
      <xdr:blipFill>
        <a:blip r:link="rId10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5" name="Picture 105" descr="Eritrea"/>
        <xdr:cNvPicPr preferRelativeResize="1">
          <a:picLocks noChangeAspect="1"/>
        </xdr:cNvPicPr>
      </xdr:nvPicPr>
      <xdr:blipFill>
        <a:blip r:link="rId10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6" name="Picture 106" descr="Mongolia"/>
        <xdr:cNvPicPr preferRelativeResize="1">
          <a:picLocks noChangeAspect="1"/>
        </xdr:cNvPicPr>
      </xdr:nvPicPr>
      <xdr:blipFill>
        <a:blip r:link="rId10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7" name="Picture 107" descr="Sierra Leone"/>
        <xdr:cNvPicPr preferRelativeResize="1">
          <a:picLocks noChangeAspect="1"/>
        </xdr:cNvPicPr>
      </xdr:nvPicPr>
      <xdr:blipFill>
        <a:blip r:link="rId10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8" name="Picture 108" descr="Fiji"/>
        <xdr:cNvPicPr preferRelativeResize="1">
          <a:picLocks noChangeAspect="1"/>
        </xdr:cNvPicPr>
      </xdr:nvPicPr>
      <xdr:blipFill>
        <a:blip r:link="rId10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109" name="Picture 109" descr="Iceland"/>
        <xdr:cNvPicPr preferRelativeResize="1">
          <a:picLocks noChangeAspect="1"/>
        </xdr:cNvPicPr>
      </xdr:nvPicPr>
      <xdr:blipFill>
        <a:blip r:link="rId10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123825</xdr:rowOff>
    </xdr:to>
    <xdr:pic>
      <xdr:nvPicPr>
        <xdr:cNvPr id="110" name="Picture 110" descr="Belgium"/>
        <xdr:cNvPicPr preferRelativeResize="1">
          <a:picLocks noChangeAspect="1"/>
        </xdr:cNvPicPr>
      </xdr:nvPicPr>
      <xdr:blipFill>
        <a:blip r:link="rId110"/>
        <a:stretch>
          <a:fillRect/>
        </a:stretch>
      </xdr:blipFill>
      <xdr:spPr>
        <a:xfrm>
          <a:off x="0" y="8753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123825</xdr:rowOff>
    </xdr:to>
    <xdr:pic>
      <xdr:nvPicPr>
        <xdr:cNvPr id="111" name="Picture 111" descr="Moldova"/>
        <xdr:cNvPicPr preferRelativeResize="1">
          <a:picLocks noChangeAspect="1"/>
        </xdr:cNvPicPr>
      </xdr:nvPicPr>
      <xdr:blipFill>
        <a:blip r:link="rId111"/>
        <a:stretch>
          <a:fillRect/>
        </a:stretch>
      </xdr:blipFill>
      <xdr:spPr>
        <a:xfrm>
          <a:off x="0" y="8915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123825</xdr:rowOff>
    </xdr:to>
    <xdr:pic>
      <xdr:nvPicPr>
        <xdr:cNvPr id="112" name="Picture 112" descr="Myanmar"/>
        <xdr:cNvPicPr preferRelativeResize="1">
          <a:picLocks noChangeAspect="1"/>
        </xdr:cNvPicPr>
      </xdr:nvPicPr>
      <xdr:blipFill>
        <a:blip r:link="rId112"/>
        <a:stretch>
          <a:fillRect/>
        </a:stretch>
      </xdr:blipFill>
      <xdr:spPr>
        <a:xfrm>
          <a:off x="0" y="9077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123825</xdr:rowOff>
    </xdr:to>
    <xdr:pic>
      <xdr:nvPicPr>
        <xdr:cNvPr id="113" name="Picture 113" descr="Suriname"/>
        <xdr:cNvPicPr preferRelativeResize="1">
          <a:picLocks noChangeAspect="1"/>
        </xdr:cNvPicPr>
      </xdr:nvPicPr>
      <xdr:blipFill>
        <a:blip r:link="rId113"/>
        <a:stretch>
          <a:fillRect/>
        </a:stretch>
      </xdr:blipFill>
      <xdr:spPr>
        <a:xfrm>
          <a:off x="0" y="9239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123825</xdr:rowOff>
    </xdr:to>
    <xdr:pic>
      <xdr:nvPicPr>
        <xdr:cNvPr id="114" name="Picture 114" descr="Malta"/>
        <xdr:cNvPicPr preferRelativeResize="1">
          <a:picLocks noChangeAspect="1"/>
        </xdr:cNvPicPr>
      </xdr:nvPicPr>
      <xdr:blipFill>
        <a:blip r:link="rId114"/>
        <a:stretch>
          <a:fillRect/>
        </a:stretch>
      </xdr:blipFill>
      <xdr:spPr>
        <a:xfrm>
          <a:off x="0" y="9401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123825</xdr:rowOff>
    </xdr:to>
    <xdr:pic>
      <xdr:nvPicPr>
        <xdr:cNvPr id="115" name="Picture 115" descr="Benin"/>
        <xdr:cNvPicPr preferRelativeResize="1">
          <a:picLocks noChangeAspect="1"/>
        </xdr:cNvPicPr>
      </xdr:nvPicPr>
      <xdr:blipFill>
        <a:blip r:link="rId115"/>
        <a:stretch>
          <a:fillRect/>
        </a:stretch>
      </xdr:blipFill>
      <xdr:spPr>
        <a:xfrm>
          <a:off x="0" y="9563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123825</xdr:rowOff>
    </xdr:to>
    <xdr:pic>
      <xdr:nvPicPr>
        <xdr:cNvPr id="116" name="Picture 116" descr="Denmark"/>
        <xdr:cNvPicPr preferRelativeResize="1">
          <a:picLocks noChangeAspect="1"/>
        </xdr:cNvPicPr>
      </xdr:nvPicPr>
      <xdr:blipFill>
        <a:blip r:link="rId116"/>
        <a:stretch>
          <a:fillRect/>
        </a:stretch>
      </xdr:blipFill>
      <xdr:spPr>
        <a:xfrm>
          <a:off x="0" y="9725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123825</xdr:rowOff>
    </xdr:to>
    <xdr:pic>
      <xdr:nvPicPr>
        <xdr:cNvPr id="117" name="Picture 117" descr="Israel"/>
        <xdr:cNvPicPr preferRelativeResize="1">
          <a:picLocks noChangeAspect="1"/>
        </xdr:cNvPicPr>
      </xdr:nvPicPr>
      <xdr:blipFill>
        <a:blip r:link="rId117"/>
        <a:stretch>
          <a:fillRect/>
        </a:stretch>
      </xdr:blipFill>
      <xdr:spPr>
        <a:xfrm>
          <a:off x="0" y="9886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123825</xdr:rowOff>
    </xdr:to>
    <xdr:pic>
      <xdr:nvPicPr>
        <xdr:cNvPr id="118" name="Picture 118" descr="Azerbaijan"/>
        <xdr:cNvPicPr preferRelativeResize="1">
          <a:picLocks noChangeAspect="1"/>
        </xdr:cNvPicPr>
      </xdr:nvPicPr>
      <xdr:blipFill>
        <a:blip r:link="rId118"/>
        <a:stretch>
          <a:fillRect/>
        </a:stretch>
      </xdr:blipFill>
      <xdr:spPr>
        <a:xfrm>
          <a:off x="0" y="10048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123825</xdr:rowOff>
    </xdr:to>
    <xdr:pic>
      <xdr:nvPicPr>
        <xdr:cNvPr id="119" name="Picture 119" descr="Armenia"/>
        <xdr:cNvPicPr preferRelativeResize="1">
          <a:picLocks noChangeAspect="1"/>
        </xdr:cNvPicPr>
      </xdr:nvPicPr>
      <xdr:blipFill>
        <a:blip r:link="rId119"/>
        <a:stretch>
          <a:fillRect/>
        </a:stretch>
      </xdr:blipFill>
      <xdr:spPr>
        <a:xfrm>
          <a:off x="0" y="10210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123825</xdr:rowOff>
    </xdr:to>
    <xdr:pic>
      <xdr:nvPicPr>
        <xdr:cNvPr id="120" name="Picture 120" descr="Togo"/>
        <xdr:cNvPicPr preferRelativeResize="1">
          <a:picLocks noChangeAspect="1"/>
        </xdr:cNvPicPr>
      </xdr:nvPicPr>
      <xdr:blipFill>
        <a:blip r:link="rId120"/>
        <a:stretch>
          <a:fillRect/>
        </a:stretch>
      </xdr:blipFill>
      <xdr:spPr>
        <a:xfrm>
          <a:off x="0" y="10372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123825</xdr:rowOff>
    </xdr:to>
    <xdr:pic>
      <xdr:nvPicPr>
        <xdr:cNvPr id="121" name="Picture 121" descr="El Salvador"/>
        <xdr:cNvPicPr preferRelativeResize="1">
          <a:picLocks noChangeAspect="1"/>
        </xdr:cNvPicPr>
      </xdr:nvPicPr>
      <xdr:blipFill>
        <a:blip r:link="rId121"/>
        <a:stretch>
          <a:fillRect/>
        </a:stretch>
      </xdr:blipFill>
      <xdr:spPr>
        <a:xfrm>
          <a:off x="0" y="10534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123825</xdr:rowOff>
    </xdr:to>
    <xdr:pic>
      <xdr:nvPicPr>
        <xdr:cNvPr id="122" name="Picture 122" descr="Panama"/>
        <xdr:cNvPicPr preferRelativeResize="1">
          <a:picLocks noChangeAspect="1"/>
        </xdr:cNvPicPr>
      </xdr:nvPicPr>
      <xdr:blipFill>
        <a:blip r:link="rId122"/>
        <a:stretch>
          <a:fillRect/>
        </a:stretch>
      </xdr:blipFill>
      <xdr:spPr>
        <a:xfrm>
          <a:off x="0" y="10696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123825</xdr:rowOff>
    </xdr:to>
    <xdr:pic>
      <xdr:nvPicPr>
        <xdr:cNvPr id="123" name="Picture 123" descr="Malawi"/>
        <xdr:cNvPicPr preferRelativeResize="1">
          <a:picLocks noChangeAspect="1"/>
        </xdr:cNvPicPr>
      </xdr:nvPicPr>
      <xdr:blipFill>
        <a:blip r:link="rId123"/>
        <a:stretch>
          <a:fillRect/>
        </a:stretch>
      </xdr:blipFill>
      <xdr:spPr>
        <a:xfrm>
          <a:off x="0" y="10858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123825</xdr:rowOff>
    </xdr:to>
    <xdr:pic>
      <xdr:nvPicPr>
        <xdr:cNvPr id="124" name="Picture 124" descr="Trinidad and Tobago"/>
        <xdr:cNvPicPr preferRelativeResize="1">
          <a:picLocks noChangeAspect="1"/>
        </xdr:cNvPicPr>
      </xdr:nvPicPr>
      <xdr:blipFill>
        <a:blip r:link="rId124"/>
        <a:stretch>
          <a:fillRect/>
        </a:stretch>
      </xdr:blipFill>
      <xdr:spPr>
        <a:xfrm>
          <a:off x="0" y="11020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123825</xdr:rowOff>
    </xdr:to>
    <xdr:pic>
      <xdr:nvPicPr>
        <xdr:cNvPr id="125" name="Picture 125" descr="Haiti"/>
        <xdr:cNvPicPr preferRelativeResize="1">
          <a:picLocks noChangeAspect="1"/>
        </xdr:cNvPicPr>
      </xdr:nvPicPr>
      <xdr:blipFill>
        <a:blip r:link="rId125"/>
        <a:stretch>
          <a:fillRect/>
        </a:stretch>
      </xdr:blipFill>
      <xdr:spPr>
        <a:xfrm>
          <a:off x="0" y="11182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123825</xdr:rowOff>
    </xdr:to>
    <xdr:pic>
      <xdr:nvPicPr>
        <xdr:cNvPr id="126" name="Picture 126" descr="Syria"/>
        <xdr:cNvPicPr preferRelativeResize="1">
          <a:picLocks noChangeAspect="1"/>
        </xdr:cNvPicPr>
      </xdr:nvPicPr>
      <xdr:blipFill>
        <a:blip r:link="rId126"/>
        <a:stretch>
          <a:fillRect/>
        </a:stretch>
      </xdr:blipFill>
      <xdr:spPr>
        <a:xfrm>
          <a:off x="0" y="11344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123825</xdr:rowOff>
    </xdr:to>
    <xdr:pic>
      <xdr:nvPicPr>
        <xdr:cNvPr id="127" name="Picture 127" descr="Cape Verde Islands"/>
        <xdr:cNvPicPr preferRelativeResize="1">
          <a:picLocks noChangeAspect="1"/>
        </xdr:cNvPicPr>
      </xdr:nvPicPr>
      <xdr:blipFill>
        <a:blip r:link="rId127"/>
        <a:stretch>
          <a:fillRect/>
        </a:stretch>
      </xdr:blipFill>
      <xdr:spPr>
        <a:xfrm>
          <a:off x="0" y="11506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123825</xdr:rowOff>
    </xdr:to>
    <xdr:pic>
      <xdr:nvPicPr>
        <xdr:cNvPr id="128" name="Picture 128" descr="Yemen"/>
        <xdr:cNvPicPr preferRelativeResize="1">
          <a:picLocks noChangeAspect="1"/>
        </xdr:cNvPicPr>
      </xdr:nvPicPr>
      <xdr:blipFill>
        <a:blip r:link="rId128"/>
        <a:stretch>
          <a:fillRect/>
        </a:stretch>
      </xdr:blipFill>
      <xdr:spPr>
        <a:xfrm>
          <a:off x="0" y="11668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123825</xdr:rowOff>
    </xdr:to>
    <xdr:pic>
      <xdr:nvPicPr>
        <xdr:cNvPr id="129" name="Picture 129" descr="Faroe Islands"/>
        <xdr:cNvPicPr preferRelativeResize="1">
          <a:picLocks noChangeAspect="1"/>
        </xdr:cNvPicPr>
      </xdr:nvPicPr>
      <xdr:blipFill>
        <a:blip r:link="rId129"/>
        <a:stretch>
          <a:fillRect/>
        </a:stretch>
      </xdr:blipFill>
      <xdr:spPr>
        <a:xfrm>
          <a:off x="0" y="11830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123825</xdr:rowOff>
    </xdr:to>
    <xdr:pic>
      <xdr:nvPicPr>
        <xdr:cNvPr id="130" name="Picture 130" descr="Botswana"/>
        <xdr:cNvPicPr preferRelativeResize="1">
          <a:picLocks noChangeAspect="1"/>
        </xdr:cNvPicPr>
      </xdr:nvPicPr>
      <xdr:blipFill>
        <a:blip r:link="rId130"/>
        <a:stretch>
          <a:fillRect/>
        </a:stretch>
      </xdr:blipFill>
      <xdr:spPr>
        <a:xfrm>
          <a:off x="0" y="11991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123825</xdr:rowOff>
    </xdr:to>
    <xdr:pic>
      <xdr:nvPicPr>
        <xdr:cNvPr id="131" name="Picture 131" descr="Singapore"/>
        <xdr:cNvPicPr preferRelativeResize="1">
          <a:picLocks noChangeAspect="1"/>
        </xdr:cNvPicPr>
      </xdr:nvPicPr>
      <xdr:blipFill>
        <a:blip r:link="rId131"/>
        <a:stretch>
          <a:fillRect/>
        </a:stretch>
      </xdr:blipFill>
      <xdr:spPr>
        <a:xfrm>
          <a:off x="0" y="12153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123825</xdr:rowOff>
    </xdr:to>
    <xdr:pic>
      <xdr:nvPicPr>
        <xdr:cNvPr id="132" name="Picture 132" descr="Guatemala"/>
        <xdr:cNvPicPr preferRelativeResize="1">
          <a:picLocks noChangeAspect="1"/>
        </xdr:cNvPicPr>
      </xdr:nvPicPr>
      <xdr:blipFill>
        <a:blip r:link="rId132"/>
        <a:stretch>
          <a:fillRect/>
        </a:stretch>
      </xdr:blipFill>
      <xdr:spPr>
        <a:xfrm>
          <a:off x="0" y="12315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123825</xdr:rowOff>
    </xdr:to>
    <xdr:pic>
      <xdr:nvPicPr>
        <xdr:cNvPr id="133" name="Picture 133" descr="Turkmenistan"/>
        <xdr:cNvPicPr preferRelativeResize="1">
          <a:picLocks noChangeAspect="1"/>
        </xdr:cNvPicPr>
      </xdr:nvPicPr>
      <xdr:blipFill>
        <a:blip r:link="rId133"/>
        <a:stretch>
          <a:fillRect/>
        </a:stretch>
      </xdr:blipFill>
      <xdr:spPr>
        <a:xfrm>
          <a:off x="0" y="12477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123825</xdr:rowOff>
    </xdr:to>
    <xdr:pic>
      <xdr:nvPicPr>
        <xdr:cNvPr id="134" name="Picture 134" descr="Equatorial Guinea"/>
        <xdr:cNvPicPr preferRelativeResize="1">
          <a:picLocks noChangeAspect="1"/>
        </xdr:cNvPicPr>
      </xdr:nvPicPr>
      <xdr:blipFill>
        <a:blip r:link="rId134"/>
        <a:stretch>
          <a:fillRect/>
        </a:stretch>
      </xdr:blipFill>
      <xdr:spPr>
        <a:xfrm>
          <a:off x="0" y="12639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123825</xdr:rowOff>
    </xdr:to>
    <xdr:pic>
      <xdr:nvPicPr>
        <xdr:cNvPr id="135" name="Picture 135" descr="Bangladesh"/>
        <xdr:cNvPicPr preferRelativeResize="1">
          <a:picLocks noChangeAspect="1"/>
        </xdr:cNvPicPr>
      </xdr:nvPicPr>
      <xdr:blipFill>
        <a:blip r:link="rId135"/>
        <a:stretch>
          <a:fillRect/>
        </a:stretch>
      </xdr:blipFill>
      <xdr:spPr>
        <a:xfrm>
          <a:off x="0" y="12801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123825</xdr:rowOff>
    </xdr:to>
    <xdr:pic>
      <xdr:nvPicPr>
        <xdr:cNvPr id="136" name="Picture 136" descr="Burundi"/>
        <xdr:cNvPicPr preferRelativeResize="1">
          <a:picLocks noChangeAspect="1"/>
        </xdr:cNvPicPr>
      </xdr:nvPicPr>
      <xdr:blipFill>
        <a:blip r:link="rId136"/>
        <a:stretch>
          <a:fillRect/>
        </a:stretch>
      </xdr:blipFill>
      <xdr:spPr>
        <a:xfrm>
          <a:off x="0" y="12963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123825</xdr:rowOff>
    </xdr:to>
    <xdr:pic>
      <xdr:nvPicPr>
        <xdr:cNvPr id="137" name="Picture 137" descr="Tajikistan"/>
        <xdr:cNvPicPr preferRelativeResize="1">
          <a:picLocks noChangeAspect="1"/>
        </xdr:cNvPicPr>
      </xdr:nvPicPr>
      <xdr:blipFill>
        <a:blip r:link="rId137"/>
        <a:stretch>
          <a:fillRect/>
        </a:stretch>
      </xdr:blipFill>
      <xdr:spPr>
        <a:xfrm>
          <a:off x="0" y="13125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123825</xdr:rowOff>
    </xdr:to>
    <xdr:pic>
      <xdr:nvPicPr>
        <xdr:cNvPr id="138" name="Picture 138" descr="Lebanon"/>
        <xdr:cNvPicPr preferRelativeResize="1">
          <a:picLocks noChangeAspect="1"/>
        </xdr:cNvPicPr>
      </xdr:nvPicPr>
      <xdr:blipFill>
        <a:blip r:link="rId138"/>
        <a:stretch>
          <a:fillRect/>
        </a:stretch>
      </xdr:blipFill>
      <xdr:spPr>
        <a:xfrm>
          <a:off x="0" y="13287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123825</xdr:rowOff>
    </xdr:to>
    <xdr:pic>
      <xdr:nvPicPr>
        <xdr:cNvPr id="139" name="Picture 139" descr="Cuba"/>
        <xdr:cNvPicPr preferRelativeResize="1">
          <a:picLocks noChangeAspect="1"/>
        </xdr:cNvPicPr>
      </xdr:nvPicPr>
      <xdr:blipFill>
        <a:blip r:link="rId139"/>
        <a:stretch>
          <a:fillRect/>
        </a:stretch>
      </xdr:blipFill>
      <xdr:spPr>
        <a:xfrm>
          <a:off x="0" y="13449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123825</xdr:rowOff>
    </xdr:to>
    <xdr:pic>
      <xdr:nvPicPr>
        <xdr:cNvPr id="140" name="Picture 140" descr="Swaziland"/>
        <xdr:cNvPicPr preferRelativeResize="1">
          <a:picLocks noChangeAspect="1"/>
        </xdr:cNvPicPr>
      </xdr:nvPicPr>
      <xdr:blipFill>
        <a:blip r:link="rId140"/>
        <a:stretch>
          <a:fillRect/>
        </a:stretch>
      </xdr:blipFill>
      <xdr:spPr>
        <a:xfrm>
          <a:off x="0" y="13611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123825</xdr:rowOff>
    </xdr:to>
    <xdr:pic>
      <xdr:nvPicPr>
        <xdr:cNvPr id="141" name="Picture 141" descr="Pakistan"/>
        <xdr:cNvPicPr preferRelativeResize="1">
          <a:picLocks noChangeAspect="1"/>
        </xdr:cNvPicPr>
      </xdr:nvPicPr>
      <xdr:blipFill>
        <a:blip r:link="rId141"/>
        <a:stretch>
          <a:fillRect/>
        </a:stretch>
      </xdr:blipFill>
      <xdr:spPr>
        <a:xfrm>
          <a:off x="0" y="13773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123825</xdr:rowOff>
    </xdr:to>
    <xdr:pic>
      <xdr:nvPicPr>
        <xdr:cNvPr id="142" name="Picture 142" descr="Nepal"/>
        <xdr:cNvPicPr preferRelativeResize="1">
          <a:picLocks noChangeAspect="1"/>
        </xdr:cNvPicPr>
      </xdr:nvPicPr>
      <xdr:blipFill>
        <a:blip r:link="rId142"/>
        <a:stretch>
          <a:fillRect/>
        </a:stretch>
      </xdr:blipFill>
      <xdr:spPr>
        <a:xfrm>
          <a:off x="0" y="13935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123825</xdr:rowOff>
    </xdr:to>
    <xdr:pic>
      <xdr:nvPicPr>
        <xdr:cNvPr id="143" name="Picture 143" descr="Sri Lanka"/>
        <xdr:cNvPicPr preferRelativeResize="1">
          <a:picLocks noChangeAspect="1"/>
        </xdr:cNvPicPr>
      </xdr:nvPicPr>
      <xdr:blipFill>
        <a:blip r:link="rId143"/>
        <a:stretch>
          <a:fillRect/>
        </a:stretch>
      </xdr:blipFill>
      <xdr:spPr>
        <a:xfrm>
          <a:off x="0" y="14097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123825</xdr:rowOff>
    </xdr:to>
    <xdr:pic>
      <xdr:nvPicPr>
        <xdr:cNvPr id="144" name="Picture 144" descr="Kyrgyzstan"/>
        <xdr:cNvPicPr preferRelativeResize="1">
          <a:picLocks noChangeAspect="1"/>
        </xdr:cNvPicPr>
      </xdr:nvPicPr>
      <xdr:blipFill>
        <a:blip r:link="rId144"/>
        <a:stretch>
          <a:fillRect/>
        </a:stretch>
      </xdr:blipFill>
      <xdr:spPr>
        <a:xfrm>
          <a:off x="0" y="14258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123825</xdr:rowOff>
    </xdr:to>
    <xdr:pic>
      <xdr:nvPicPr>
        <xdr:cNvPr id="145" name="Picture 145" descr="Liberia"/>
        <xdr:cNvPicPr preferRelativeResize="1">
          <a:picLocks noChangeAspect="1"/>
        </xdr:cNvPicPr>
      </xdr:nvPicPr>
      <xdr:blipFill>
        <a:blip r:link="rId145"/>
        <a:stretch>
          <a:fillRect/>
        </a:stretch>
      </xdr:blipFill>
      <xdr:spPr>
        <a:xfrm>
          <a:off x="0" y="14420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123825</xdr:rowOff>
    </xdr:to>
    <xdr:pic>
      <xdr:nvPicPr>
        <xdr:cNvPr id="146" name="Picture 146" descr="Mauritania"/>
        <xdr:cNvPicPr preferRelativeResize="1">
          <a:picLocks noChangeAspect="1"/>
        </xdr:cNvPicPr>
      </xdr:nvPicPr>
      <xdr:blipFill>
        <a:blip r:link="rId146"/>
        <a:stretch>
          <a:fillRect/>
        </a:stretch>
      </xdr:blipFill>
      <xdr:spPr>
        <a:xfrm>
          <a:off x="0" y="14582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123825</xdr:rowOff>
    </xdr:to>
    <xdr:pic>
      <xdr:nvPicPr>
        <xdr:cNvPr id="147" name="Picture 147" descr="Luxembourg"/>
        <xdr:cNvPicPr preferRelativeResize="1">
          <a:picLocks noChangeAspect="1"/>
        </xdr:cNvPicPr>
      </xdr:nvPicPr>
      <xdr:blipFill>
        <a:blip r:link="rId147"/>
        <a:stretch>
          <a:fillRect/>
        </a:stretch>
      </xdr:blipFill>
      <xdr:spPr>
        <a:xfrm>
          <a:off x="0" y="14744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91</xdr:row>
      <xdr:rowOff>123825</xdr:rowOff>
    </xdr:to>
    <xdr:pic>
      <xdr:nvPicPr>
        <xdr:cNvPr id="148" name="Picture 148" descr="Indonesia"/>
        <xdr:cNvPicPr preferRelativeResize="1">
          <a:picLocks noChangeAspect="1"/>
        </xdr:cNvPicPr>
      </xdr:nvPicPr>
      <xdr:blipFill>
        <a:blip r:link="rId148"/>
        <a:stretch>
          <a:fillRect/>
        </a:stretch>
      </xdr:blipFill>
      <xdr:spPr>
        <a:xfrm>
          <a:off x="0" y="14906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123825</xdr:rowOff>
    </xdr:to>
    <xdr:pic>
      <xdr:nvPicPr>
        <xdr:cNvPr id="149" name="Picture 149" descr="Madagascar"/>
        <xdr:cNvPicPr preferRelativeResize="1">
          <a:picLocks noChangeAspect="1"/>
        </xdr:cNvPicPr>
      </xdr:nvPicPr>
      <xdr:blipFill>
        <a:blip r:link="rId149"/>
        <a:stretch>
          <a:fillRect/>
        </a:stretch>
      </xdr:blipFill>
      <xdr:spPr>
        <a:xfrm>
          <a:off x="0" y="15068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123825</xdr:rowOff>
    </xdr:to>
    <xdr:pic>
      <xdr:nvPicPr>
        <xdr:cNvPr id="150" name="Picture 150" descr="Guyana"/>
        <xdr:cNvPicPr preferRelativeResize="1">
          <a:picLocks noChangeAspect="1"/>
        </xdr:cNvPicPr>
      </xdr:nvPicPr>
      <xdr:blipFill>
        <a:blip r:link="rId150"/>
        <a:stretch>
          <a:fillRect/>
        </a:stretch>
      </xdr:blipFill>
      <xdr:spPr>
        <a:xfrm>
          <a:off x="0" y="15230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123825</xdr:rowOff>
    </xdr:to>
    <xdr:pic>
      <xdr:nvPicPr>
        <xdr:cNvPr id="151" name="Picture 151" descr="Antigua and Barbuda"/>
        <xdr:cNvPicPr preferRelativeResize="1">
          <a:picLocks noChangeAspect="1"/>
        </xdr:cNvPicPr>
      </xdr:nvPicPr>
      <xdr:blipFill>
        <a:blip r:link="rId151"/>
        <a:stretch>
          <a:fillRect/>
        </a:stretch>
      </xdr:blipFill>
      <xdr:spPr>
        <a:xfrm>
          <a:off x="0" y="15392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123825</xdr:rowOff>
    </xdr:to>
    <xdr:pic>
      <xdr:nvPicPr>
        <xdr:cNvPr id="152" name="Picture 152" descr="Barbados"/>
        <xdr:cNvPicPr preferRelativeResize="1">
          <a:picLocks noChangeAspect="1"/>
        </xdr:cNvPicPr>
      </xdr:nvPicPr>
      <xdr:blipFill>
        <a:blip r:link="rId152"/>
        <a:stretch>
          <a:fillRect/>
        </a:stretch>
      </xdr:blipFill>
      <xdr:spPr>
        <a:xfrm>
          <a:off x="0" y="15554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123825</xdr:rowOff>
    </xdr:to>
    <xdr:pic>
      <xdr:nvPicPr>
        <xdr:cNvPr id="153" name="Picture 153" descr="Grenada"/>
        <xdr:cNvPicPr preferRelativeResize="1">
          <a:picLocks noChangeAspect="1"/>
        </xdr:cNvPicPr>
      </xdr:nvPicPr>
      <xdr:blipFill>
        <a:blip r:link="rId153"/>
        <a:stretch>
          <a:fillRect/>
        </a:stretch>
      </xdr:blipFill>
      <xdr:spPr>
        <a:xfrm>
          <a:off x="0" y="15716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123825</xdr:rowOff>
    </xdr:to>
    <xdr:pic>
      <xdr:nvPicPr>
        <xdr:cNvPr id="154" name="Picture 154" descr="Bermuda"/>
        <xdr:cNvPicPr preferRelativeResize="1">
          <a:picLocks noChangeAspect="1"/>
        </xdr:cNvPicPr>
      </xdr:nvPicPr>
      <xdr:blipFill>
        <a:blip r:link="rId154"/>
        <a:stretch>
          <a:fillRect/>
        </a:stretch>
      </xdr:blipFill>
      <xdr:spPr>
        <a:xfrm>
          <a:off x="0" y="15878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123825</xdr:rowOff>
    </xdr:to>
    <xdr:pic>
      <xdr:nvPicPr>
        <xdr:cNvPr id="155" name="Picture 155" descr="Hong Kong"/>
        <xdr:cNvPicPr preferRelativeResize="1">
          <a:picLocks noChangeAspect="1"/>
        </xdr:cNvPicPr>
      </xdr:nvPicPr>
      <xdr:blipFill>
        <a:blip r:link="rId155"/>
        <a:stretch>
          <a:fillRect/>
        </a:stretch>
      </xdr:blipFill>
      <xdr:spPr>
        <a:xfrm>
          <a:off x="0" y="16040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123825</xdr:rowOff>
    </xdr:to>
    <xdr:pic>
      <xdr:nvPicPr>
        <xdr:cNvPr id="156" name="Picture 156" descr="Maldives"/>
        <xdr:cNvPicPr preferRelativeResize="1">
          <a:picLocks noChangeAspect="1"/>
        </xdr:cNvPicPr>
      </xdr:nvPicPr>
      <xdr:blipFill>
        <a:blip r:link="rId156"/>
        <a:stretch>
          <a:fillRect/>
        </a:stretch>
      </xdr:blipFill>
      <xdr:spPr>
        <a:xfrm>
          <a:off x="0" y="16202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123825</xdr:rowOff>
    </xdr:to>
    <xdr:pic>
      <xdr:nvPicPr>
        <xdr:cNvPr id="157" name="Picture 157" descr="New Caledonia"/>
        <xdr:cNvPicPr preferRelativeResize="1">
          <a:picLocks noChangeAspect="1"/>
        </xdr:cNvPicPr>
      </xdr:nvPicPr>
      <xdr:blipFill>
        <a:blip r:link="rId157"/>
        <a:stretch>
          <a:fillRect/>
        </a:stretch>
      </xdr:blipFill>
      <xdr:spPr>
        <a:xfrm>
          <a:off x="0" y="16363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123825</xdr:rowOff>
    </xdr:to>
    <xdr:pic>
      <xdr:nvPicPr>
        <xdr:cNvPr id="158" name="Picture 158" descr="Lesotho"/>
        <xdr:cNvPicPr preferRelativeResize="1">
          <a:picLocks noChangeAspect="1"/>
        </xdr:cNvPicPr>
      </xdr:nvPicPr>
      <xdr:blipFill>
        <a:blip r:link="rId158"/>
        <a:stretch>
          <a:fillRect/>
        </a:stretch>
      </xdr:blipFill>
      <xdr:spPr>
        <a:xfrm>
          <a:off x="0" y="16525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123825</xdr:rowOff>
    </xdr:to>
    <xdr:pic>
      <xdr:nvPicPr>
        <xdr:cNvPr id="159" name="Picture 159" descr="Niger"/>
        <xdr:cNvPicPr preferRelativeResize="1">
          <a:picLocks noChangeAspect="1"/>
        </xdr:cNvPicPr>
      </xdr:nvPicPr>
      <xdr:blipFill>
        <a:blip r:link="rId159"/>
        <a:stretch>
          <a:fillRect/>
        </a:stretch>
      </xdr:blipFill>
      <xdr:spPr>
        <a:xfrm>
          <a:off x="0" y="16687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123825</xdr:rowOff>
    </xdr:to>
    <xdr:pic>
      <xdr:nvPicPr>
        <xdr:cNvPr id="160" name="Picture 160" descr="Cambodia"/>
        <xdr:cNvPicPr preferRelativeResize="1">
          <a:picLocks noChangeAspect="1"/>
        </xdr:cNvPicPr>
      </xdr:nvPicPr>
      <xdr:blipFill>
        <a:blip r:link="rId160"/>
        <a:stretch>
          <a:fillRect/>
        </a:stretch>
      </xdr:blipFill>
      <xdr:spPr>
        <a:xfrm>
          <a:off x="0" y="16849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123825</xdr:rowOff>
    </xdr:to>
    <xdr:pic>
      <xdr:nvPicPr>
        <xdr:cNvPr id="161" name="Picture 161" descr="Mauritius"/>
        <xdr:cNvPicPr preferRelativeResize="1">
          <a:picLocks noChangeAspect="1"/>
        </xdr:cNvPicPr>
      </xdr:nvPicPr>
      <xdr:blipFill>
        <a:blip r:link="rId161"/>
        <a:stretch>
          <a:fillRect/>
        </a:stretch>
      </xdr:blipFill>
      <xdr:spPr>
        <a:xfrm>
          <a:off x="0" y="17011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123825</xdr:rowOff>
    </xdr:to>
    <xdr:pic>
      <xdr:nvPicPr>
        <xdr:cNvPr id="162" name="Picture 162" descr="Somalia"/>
        <xdr:cNvPicPr preferRelativeResize="1">
          <a:picLocks noChangeAspect="1"/>
        </xdr:cNvPicPr>
      </xdr:nvPicPr>
      <xdr:blipFill>
        <a:blip r:link="rId162"/>
        <a:stretch>
          <a:fillRect/>
        </a:stretch>
      </xdr:blipFill>
      <xdr:spPr>
        <a:xfrm>
          <a:off x="0" y="17173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106</xdr:row>
      <xdr:rowOff>123825</xdr:rowOff>
    </xdr:to>
    <xdr:pic>
      <xdr:nvPicPr>
        <xdr:cNvPr id="163" name="Picture 163" descr="Central African Republic"/>
        <xdr:cNvPicPr preferRelativeResize="1">
          <a:picLocks noChangeAspect="1"/>
        </xdr:cNvPicPr>
      </xdr:nvPicPr>
      <xdr:blipFill>
        <a:blip r:link="rId163"/>
        <a:stretch>
          <a:fillRect/>
        </a:stretch>
      </xdr:blipFill>
      <xdr:spPr>
        <a:xfrm>
          <a:off x="0" y="17335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123825</xdr:rowOff>
    </xdr:to>
    <xdr:pic>
      <xdr:nvPicPr>
        <xdr:cNvPr id="164" name="Picture 164" descr="Liechtenstein"/>
        <xdr:cNvPicPr preferRelativeResize="1">
          <a:picLocks noChangeAspect="1"/>
        </xdr:cNvPicPr>
      </xdr:nvPicPr>
      <xdr:blipFill>
        <a:blip r:link="rId164"/>
        <a:stretch>
          <a:fillRect/>
        </a:stretch>
      </xdr:blipFill>
      <xdr:spPr>
        <a:xfrm>
          <a:off x="0" y="17497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0</xdr:colOff>
      <xdr:row>108</xdr:row>
      <xdr:rowOff>123825</xdr:rowOff>
    </xdr:to>
    <xdr:pic>
      <xdr:nvPicPr>
        <xdr:cNvPr id="165" name="Picture 165" descr="Vanuatu"/>
        <xdr:cNvPicPr preferRelativeResize="1">
          <a:picLocks noChangeAspect="1"/>
        </xdr:cNvPicPr>
      </xdr:nvPicPr>
      <xdr:blipFill>
        <a:blip r:link="rId165"/>
        <a:stretch>
          <a:fillRect/>
        </a:stretch>
      </xdr:blipFill>
      <xdr:spPr>
        <a:xfrm>
          <a:off x="0" y="17659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123825</xdr:rowOff>
    </xdr:to>
    <xdr:pic>
      <xdr:nvPicPr>
        <xdr:cNvPr id="166" name="Picture 166" descr="St. Kitts and Nevis"/>
        <xdr:cNvPicPr preferRelativeResize="1">
          <a:picLocks noChangeAspect="1"/>
        </xdr:cNvPicPr>
      </xdr:nvPicPr>
      <xdr:blipFill>
        <a:blip r:link="rId166"/>
        <a:stretch>
          <a:fillRect/>
        </a:stretch>
      </xdr:blipFill>
      <xdr:spPr>
        <a:xfrm>
          <a:off x="0" y="17821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0</xdr:colOff>
      <xdr:row>110</xdr:row>
      <xdr:rowOff>123825</xdr:rowOff>
    </xdr:to>
    <xdr:pic>
      <xdr:nvPicPr>
        <xdr:cNvPr id="167" name="Picture 167" descr="Malaysia"/>
        <xdr:cNvPicPr preferRelativeResize="1">
          <a:picLocks noChangeAspect="1"/>
        </xdr:cNvPicPr>
      </xdr:nvPicPr>
      <xdr:blipFill>
        <a:blip r:link="rId167"/>
        <a:stretch>
          <a:fillRect/>
        </a:stretch>
      </xdr:blipFill>
      <xdr:spPr>
        <a:xfrm>
          <a:off x="0" y="17983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111</xdr:row>
      <xdr:rowOff>123825</xdr:rowOff>
    </xdr:to>
    <xdr:pic>
      <xdr:nvPicPr>
        <xdr:cNvPr id="168" name="Picture 168" descr="Nicaragua"/>
        <xdr:cNvPicPr preferRelativeResize="1">
          <a:picLocks noChangeAspect="1"/>
        </xdr:cNvPicPr>
      </xdr:nvPicPr>
      <xdr:blipFill>
        <a:blip r:link="rId168"/>
        <a:stretch>
          <a:fillRect/>
        </a:stretch>
      </xdr:blipFill>
      <xdr:spPr>
        <a:xfrm>
          <a:off x="0" y="18145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123825</xdr:rowOff>
    </xdr:to>
    <xdr:pic>
      <xdr:nvPicPr>
        <xdr:cNvPr id="169" name="Picture 169" descr="Puerto Rico"/>
        <xdr:cNvPicPr preferRelativeResize="1">
          <a:picLocks noChangeAspect="1"/>
        </xdr:cNvPicPr>
      </xdr:nvPicPr>
      <xdr:blipFill>
        <a:blip r:link="rId169"/>
        <a:stretch>
          <a:fillRect/>
        </a:stretch>
      </xdr:blipFill>
      <xdr:spPr>
        <a:xfrm>
          <a:off x="0" y="18307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123825</xdr:rowOff>
    </xdr:to>
    <xdr:pic>
      <xdr:nvPicPr>
        <xdr:cNvPr id="170" name="Picture 170" descr="Philippines"/>
        <xdr:cNvPicPr preferRelativeResize="1">
          <a:picLocks noChangeAspect="1"/>
        </xdr:cNvPicPr>
      </xdr:nvPicPr>
      <xdr:blipFill>
        <a:blip r:link="rId170"/>
        <a:stretch>
          <a:fillRect/>
        </a:stretch>
      </xdr:blipFill>
      <xdr:spPr>
        <a:xfrm>
          <a:off x="0" y="18468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123825</xdr:rowOff>
    </xdr:to>
    <xdr:pic>
      <xdr:nvPicPr>
        <xdr:cNvPr id="171" name="Picture 171" descr="St. Vincent and the Grenadines"/>
        <xdr:cNvPicPr preferRelativeResize="1">
          <a:picLocks noChangeAspect="1"/>
        </xdr:cNvPicPr>
      </xdr:nvPicPr>
      <xdr:blipFill>
        <a:blip r:link="rId171"/>
        <a:stretch>
          <a:fillRect/>
        </a:stretch>
      </xdr:blipFill>
      <xdr:spPr>
        <a:xfrm>
          <a:off x="0" y="18630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115</xdr:row>
      <xdr:rowOff>123825</xdr:rowOff>
    </xdr:to>
    <xdr:pic>
      <xdr:nvPicPr>
        <xdr:cNvPr id="172" name="Picture 172" descr="Netherlands Antilles"/>
        <xdr:cNvPicPr preferRelativeResize="1">
          <a:picLocks noChangeAspect="1"/>
        </xdr:cNvPicPr>
      </xdr:nvPicPr>
      <xdr:blipFill>
        <a:blip r:link="rId172"/>
        <a:stretch>
          <a:fillRect/>
        </a:stretch>
      </xdr:blipFill>
      <xdr:spPr>
        <a:xfrm>
          <a:off x="0" y="18792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116</xdr:row>
      <xdr:rowOff>123825</xdr:rowOff>
    </xdr:to>
    <xdr:pic>
      <xdr:nvPicPr>
        <xdr:cNvPr id="173" name="Picture 173" descr="Solomon Islands"/>
        <xdr:cNvPicPr preferRelativeResize="1">
          <a:picLocks noChangeAspect="1"/>
        </xdr:cNvPicPr>
      </xdr:nvPicPr>
      <xdr:blipFill>
        <a:blip r:link="rId173"/>
        <a:stretch>
          <a:fillRect/>
        </a:stretch>
      </xdr:blipFill>
      <xdr:spPr>
        <a:xfrm>
          <a:off x="0" y="18954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0</xdr:colOff>
      <xdr:row>117</xdr:row>
      <xdr:rowOff>123825</xdr:rowOff>
    </xdr:to>
    <xdr:pic>
      <xdr:nvPicPr>
        <xdr:cNvPr id="174" name="Picture 174" descr="Palestine"/>
        <xdr:cNvPicPr preferRelativeResize="1">
          <a:picLocks noChangeAspect="1"/>
        </xdr:cNvPicPr>
      </xdr:nvPicPr>
      <xdr:blipFill>
        <a:blip r:link="rId174"/>
        <a:stretch>
          <a:fillRect/>
        </a:stretch>
      </xdr:blipFill>
      <xdr:spPr>
        <a:xfrm>
          <a:off x="0" y="19116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118</xdr:row>
      <xdr:rowOff>123825</xdr:rowOff>
    </xdr:to>
    <xdr:pic>
      <xdr:nvPicPr>
        <xdr:cNvPr id="175" name="Picture 175" descr="Turks and Caicos Islands"/>
        <xdr:cNvPicPr preferRelativeResize="1">
          <a:picLocks noChangeAspect="1"/>
        </xdr:cNvPicPr>
      </xdr:nvPicPr>
      <xdr:blipFill>
        <a:blip r:link="rId175"/>
        <a:stretch>
          <a:fillRect/>
        </a:stretch>
      </xdr:blipFill>
      <xdr:spPr>
        <a:xfrm>
          <a:off x="0" y="19278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0</xdr:colOff>
      <xdr:row>119</xdr:row>
      <xdr:rowOff>123825</xdr:rowOff>
    </xdr:to>
    <xdr:pic>
      <xdr:nvPicPr>
        <xdr:cNvPr id="176" name="Picture 176" descr="Seychelles"/>
        <xdr:cNvPicPr preferRelativeResize="1">
          <a:picLocks noChangeAspect="1"/>
        </xdr:cNvPicPr>
      </xdr:nvPicPr>
      <xdr:blipFill>
        <a:blip r:link="rId176"/>
        <a:stretch>
          <a:fillRect/>
        </a:stretch>
      </xdr:blipFill>
      <xdr:spPr>
        <a:xfrm>
          <a:off x="0" y="19440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123825</xdr:rowOff>
    </xdr:to>
    <xdr:pic>
      <xdr:nvPicPr>
        <xdr:cNvPr id="177" name="Picture 177" descr="Comoros"/>
        <xdr:cNvPicPr preferRelativeResize="1">
          <a:picLocks noChangeAspect="1"/>
        </xdr:cNvPicPr>
      </xdr:nvPicPr>
      <xdr:blipFill>
        <a:blip r:link="rId177"/>
        <a:stretch>
          <a:fillRect/>
        </a:stretch>
      </xdr:blipFill>
      <xdr:spPr>
        <a:xfrm>
          <a:off x="0" y="19602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121</xdr:row>
      <xdr:rowOff>123825</xdr:rowOff>
    </xdr:to>
    <xdr:pic>
      <xdr:nvPicPr>
        <xdr:cNvPr id="178" name="Picture 178" descr="Bahamas"/>
        <xdr:cNvPicPr preferRelativeResize="1">
          <a:picLocks noChangeAspect="1"/>
        </xdr:cNvPicPr>
      </xdr:nvPicPr>
      <xdr:blipFill>
        <a:blip r:link="rId178"/>
        <a:stretch>
          <a:fillRect/>
        </a:stretch>
      </xdr:blipFill>
      <xdr:spPr>
        <a:xfrm>
          <a:off x="0" y="19764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122</xdr:row>
      <xdr:rowOff>123825</xdr:rowOff>
    </xdr:to>
    <xdr:pic>
      <xdr:nvPicPr>
        <xdr:cNvPr id="179" name="Picture 179" descr="Cayman Islands"/>
        <xdr:cNvPicPr preferRelativeResize="1">
          <a:picLocks noChangeAspect="1"/>
        </xdr:cNvPicPr>
      </xdr:nvPicPr>
      <xdr:blipFill>
        <a:blip r:link="rId179"/>
        <a:stretch>
          <a:fillRect/>
        </a:stretch>
      </xdr:blipFill>
      <xdr:spPr>
        <a:xfrm>
          <a:off x="0" y="19926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0</xdr:colOff>
      <xdr:row>123</xdr:row>
      <xdr:rowOff>123825</xdr:rowOff>
    </xdr:to>
    <xdr:pic>
      <xdr:nvPicPr>
        <xdr:cNvPr id="180" name="Picture 180" descr="Dominica"/>
        <xdr:cNvPicPr preferRelativeResize="1">
          <a:picLocks noChangeAspect="1"/>
        </xdr:cNvPicPr>
      </xdr:nvPicPr>
      <xdr:blipFill>
        <a:blip r:link="rId180"/>
        <a:stretch>
          <a:fillRect/>
        </a:stretch>
      </xdr:blipFill>
      <xdr:spPr>
        <a:xfrm>
          <a:off x="0" y="20088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123825</xdr:rowOff>
    </xdr:to>
    <xdr:pic>
      <xdr:nvPicPr>
        <xdr:cNvPr id="181" name="Picture 181" descr="Andorra"/>
        <xdr:cNvPicPr preferRelativeResize="1">
          <a:picLocks noChangeAspect="1"/>
        </xdr:cNvPicPr>
      </xdr:nvPicPr>
      <xdr:blipFill>
        <a:blip r:link="rId181"/>
        <a:stretch>
          <a:fillRect/>
        </a:stretch>
      </xdr:blipFill>
      <xdr:spPr>
        <a:xfrm>
          <a:off x="0" y="20250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125</xdr:row>
      <xdr:rowOff>123825</xdr:rowOff>
    </xdr:to>
    <xdr:pic>
      <xdr:nvPicPr>
        <xdr:cNvPr id="182" name="Picture 182" descr="Samoa"/>
        <xdr:cNvPicPr preferRelativeResize="1">
          <a:picLocks noChangeAspect="1"/>
        </xdr:cNvPicPr>
      </xdr:nvPicPr>
      <xdr:blipFill>
        <a:blip r:link="rId182"/>
        <a:stretch>
          <a:fillRect/>
        </a:stretch>
      </xdr:blipFill>
      <xdr:spPr>
        <a:xfrm>
          <a:off x="0" y="20412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0</xdr:colOff>
      <xdr:row>126</xdr:row>
      <xdr:rowOff>123825</xdr:rowOff>
    </xdr:to>
    <xdr:pic>
      <xdr:nvPicPr>
        <xdr:cNvPr id="183" name="Picture 183" descr="Guam"/>
        <xdr:cNvPicPr preferRelativeResize="1">
          <a:picLocks noChangeAspect="1"/>
        </xdr:cNvPicPr>
      </xdr:nvPicPr>
      <xdr:blipFill>
        <a:blip r:link="rId183"/>
        <a:stretch>
          <a:fillRect/>
        </a:stretch>
      </xdr:blipFill>
      <xdr:spPr>
        <a:xfrm>
          <a:off x="0" y="20574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127</xdr:row>
      <xdr:rowOff>123825</xdr:rowOff>
    </xdr:to>
    <xdr:pic>
      <xdr:nvPicPr>
        <xdr:cNvPr id="184" name="Picture 184" descr="Cook Islands"/>
        <xdr:cNvPicPr preferRelativeResize="1">
          <a:picLocks noChangeAspect="1"/>
        </xdr:cNvPicPr>
      </xdr:nvPicPr>
      <xdr:blipFill>
        <a:blip r:link="rId184"/>
        <a:stretch>
          <a:fillRect/>
        </a:stretch>
      </xdr:blipFill>
      <xdr:spPr>
        <a:xfrm>
          <a:off x="0" y="20735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123825</xdr:rowOff>
    </xdr:to>
    <xdr:pic>
      <xdr:nvPicPr>
        <xdr:cNvPr id="185" name="Picture 185" descr="Belize"/>
        <xdr:cNvPicPr preferRelativeResize="1">
          <a:picLocks noChangeAspect="1"/>
        </xdr:cNvPicPr>
      </xdr:nvPicPr>
      <xdr:blipFill>
        <a:blip r:link="rId185"/>
        <a:stretch>
          <a:fillRect/>
        </a:stretch>
      </xdr:blipFill>
      <xdr:spPr>
        <a:xfrm>
          <a:off x="0" y="20897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0</xdr:colOff>
      <xdr:row>129</xdr:row>
      <xdr:rowOff>123825</xdr:rowOff>
    </xdr:to>
    <xdr:pic>
      <xdr:nvPicPr>
        <xdr:cNvPr id="186" name="Picture 186" descr="St. Lucia"/>
        <xdr:cNvPicPr preferRelativeResize="1">
          <a:picLocks noChangeAspect="1"/>
        </xdr:cNvPicPr>
      </xdr:nvPicPr>
      <xdr:blipFill>
        <a:blip r:link="rId186"/>
        <a:stretch>
          <a:fillRect/>
        </a:stretch>
      </xdr:blipFill>
      <xdr:spPr>
        <a:xfrm>
          <a:off x="0" y="21059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130</xdr:row>
      <xdr:rowOff>123825</xdr:rowOff>
    </xdr:to>
    <xdr:pic>
      <xdr:nvPicPr>
        <xdr:cNvPr id="187" name="Picture 187" descr="Macau"/>
        <xdr:cNvPicPr preferRelativeResize="1">
          <a:picLocks noChangeAspect="1"/>
        </xdr:cNvPicPr>
      </xdr:nvPicPr>
      <xdr:blipFill>
        <a:blip r:link="rId187"/>
        <a:stretch>
          <a:fillRect/>
        </a:stretch>
      </xdr:blipFill>
      <xdr:spPr>
        <a:xfrm>
          <a:off x="0" y="21221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123825</xdr:rowOff>
    </xdr:to>
    <xdr:pic>
      <xdr:nvPicPr>
        <xdr:cNvPr id="188" name="Picture 188" descr="Tonga"/>
        <xdr:cNvPicPr preferRelativeResize="1">
          <a:picLocks noChangeAspect="1"/>
        </xdr:cNvPicPr>
      </xdr:nvPicPr>
      <xdr:blipFill>
        <a:blip r:link="rId188"/>
        <a:stretch>
          <a:fillRect/>
        </a:stretch>
      </xdr:blipFill>
      <xdr:spPr>
        <a:xfrm>
          <a:off x="0" y="21383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123825</xdr:rowOff>
    </xdr:to>
    <xdr:pic>
      <xdr:nvPicPr>
        <xdr:cNvPr id="189" name="Picture 189" descr="Dominican Republic"/>
        <xdr:cNvPicPr preferRelativeResize="1">
          <a:picLocks noChangeAspect="1"/>
        </xdr:cNvPicPr>
      </xdr:nvPicPr>
      <xdr:blipFill>
        <a:blip r:link="rId189"/>
        <a:stretch>
          <a:fillRect/>
        </a:stretch>
      </xdr:blipFill>
      <xdr:spPr>
        <a:xfrm>
          <a:off x="0" y="21545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133</xdr:row>
      <xdr:rowOff>123825</xdr:rowOff>
    </xdr:to>
    <xdr:pic>
      <xdr:nvPicPr>
        <xdr:cNvPr id="190" name="Picture 190" descr="Brunei Darussalam"/>
        <xdr:cNvPicPr preferRelativeResize="1">
          <a:picLocks noChangeAspect="1"/>
        </xdr:cNvPicPr>
      </xdr:nvPicPr>
      <xdr:blipFill>
        <a:blip r:link="rId190"/>
        <a:stretch>
          <a:fillRect/>
        </a:stretch>
      </xdr:blipFill>
      <xdr:spPr>
        <a:xfrm>
          <a:off x="0" y="21707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134</xdr:row>
      <xdr:rowOff>123825</xdr:rowOff>
    </xdr:to>
    <xdr:pic>
      <xdr:nvPicPr>
        <xdr:cNvPr id="191" name="Picture 191" descr="British Virgin Islands"/>
        <xdr:cNvPicPr preferRelativeResize="1">
          <a:picLocks noChangeAspect="1"/>
        </xdr:cNvPicPr>
      </xdr:nvPicPr>
      <xdr:blipFill>
        <a:blip r:link="rId191"/>
        <a:stretch>
          <a:fillRect/>
        </a:stretch>
      </xdr:blipFill>
      <xdr:spPr>
        <a:xfrm>
          <a:off x="0" y="21869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0</xdr:colOff>
      <xdr:row>135</xdr:row>
      <xdr:rowOff>123825</xdr:rowOff>
    </xdr:to>
    <xdr:pic>
      <xdr:nvPicPr>
        <xdr:cNvPr id="192" name="Picture 192" descr="Djibouti"/>
        <xdr:cNvPicPr preferRelativeResize="1">
          <a:picLocks noChangeAspect="1"/>
        </xdr:cNvPicPr>
      </xdr:nvPicPr>
      <xdr:blipFill>
        <a:blip r:link="rId192"/>
        <a:stretch>
          <a:fillRect/>
        </a:stretch>
      </xdr:blipFill>
      <xdr:spPr>
        <a:xfrm>
          <a:off x="0" y="22031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136</xdr:row>
      <xdr:rowOff>123825</xdr:rowOff>
    </xdr:to>
    <xdr:pic>
      <xdr:nvPicPr>
        <xdr:cNvPr id="193" name="Picture 193" descr="Afghanistan"/>
        <xdr:cNvPicPr preferRelativeResize="1">
          <a:picLocks noChangeAspect="1"/>
        </xdr:cNvPicPr>
      </xdr:nvPicPr>
      <xdr:blipFill>
        <a:blip r:link="rId193"/>
        <a:stretch>
          <a:fillRect/>
        </a:stretch>
      </xdr:blipFill>
      <xdr:spPr>
        <a:xfrm>
          <a:off x="0" y="22193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137</xdr:row>
      <xdr:rowOff>123825</xdr:rowOff>
    </xdr:to>
    <xdr:pic>
      <xdr:nvPicPr>
        <xdr:cNvPr id="194" name="Picture 194" descr="Tahiti"/>
        <xdr:cNvPicPr preferRelativeResize="1">
          <a:picLocks noChangeAspect="1"/>
        </xdr:cNvPicPr>
      </xdr:nvPicPr>
      <xdr:blipFill>
        <a:blip r:link="rId194"/>
        <a:stretch>
          <a:fillRect/>
        </a:stretch>
      </xdr:blipFill>
      <xdr:spPr>
        <a:xfrm>
          <a:off x="0" y="22355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0</xdr:colOff>
      <xdr:row>138</xdr:row>
      <xdr:rowOff>123825</xdr:rowOff>
    </xdr:to>
    <xdr:pic>
      <xdr:nvPicPr>
        <xdr:cNvPr id="195" name="Picture 195" descr="Bhutan"/>
        <xdr:cNvPicPr preferRelativeResize="1">
          <a:picLocks noChangeAspect="1"/>
        </xdr:cNvPicPr>
      </xdr:nvPicPr>
      <xdr:blipFill>
        <a:blip r:link="rId195"/>
        <a:stretch>
          <a:fillRect/>
        </a:stretch>
      </xdr:blipFill>
      <xdr:spPr>
        <a:xfrm>
          <a:off x="0" y="2251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139</xdr:row>
      <xdr:rowOff>123825</xdr:rowOff>
    </xdr:to>
    <xdr:pic>
      <xdr:nvPicPr>
        <xdr:cNvPr id="196" name="Picture 196" descr="Aruba"/>
        <xdr:cNvPicPr preferRelativeResize="1">
          <a:picLocks noChangeAspect="1"/>
        </xdr:cNvPicPr>
      </xdr:nvPicPr>
      <xdr:blipFill>
        <a:blip r:link="rId196"/>
        <a:stretch>
          <a:fillRect/>
        </a:stretch>
      </xdr:blipFill>
      <xdr:spPr>
        <a:xfrm>
          <a:off x="0" y="22679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0</xdr:colOff>
      <xdr:row>140</xdr:row>
      <xdr:rowOff>123825</xdr:rowOff>
    </xdr:to>
    <xdr:pic>
      <xdr:nvPicPr>
        <xdr:cNvPr id="197" name="Picture 197" descr="San Marino"/>
        <xdr:cNvPicPr preferRelativeResize="1">
          <a:picLocks noChangeAspect="1"/>
        </xdr:cNvPicPr>
      </xdr:nvPicPr>
      <xdr:blipFill>
        <a:blip r:link="rId197"/>
        <a:stretch>
          <a:fillRect/>
        </a:stretch>
      </xdr:blipFill>
      <xdr:spPr>
        <a:xfrm>
          <a:off x="0" y="22840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123825</xdr:rowOff>
    </xdr:to>
    <xdr:pic>
      <xdr:nvPicPr>
        <xdr:cNvPr id="198" name="Picture 198" descr="US Virgin Islands"/>
        <xdr:cNvPicPr preferRelativeResize="1">
          <a:picLocks noChangeAspect="1"/>
        </xdr:cNvPicPr>
      </xdr:nvPicPr>
      <xdr:blipFill>
        <a:blip r:link="rId198"/>
        <a:stretch>
          <a:fillRect/>
        </a:stretch>
      </xdr:blipFill>
      <xdr:spPr>
        <a:xfrm>
          <a:off x="0" y="23002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142</xdr:row>
      <xdr:rowOff>123825</xdr:rowOff>
    </xdr:to>
    <xdr:pic>
      <xdr:nvPicPr>
        <xdr:cNvPr id="199" name="Picture 199" descr="Timor-Leste"/>
        <xdr:cNvPicPr preferRelativeResize="1">
          <a:picLocks noChangeAspect="1"/>
        </xdr:cNvPicPr>
      </xdr:nvPicPr>
      <xdr:blipFill>
        <a:blip r:link="rId199"/>
        <a:stretch>
          <a:fillRect/>
        </a:stretch>
      </xdr:blipFill>
      <xdr:spPr>
        <a:xfrm>
          <a:off x="0" y="23164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1</xdr:row>
      <xdr:rowOff>133350</xdr:rowOff>
    </xdr:to>
    <xdr:pic>
      <xdr:nvPicPr>
        <xdr:cNvPr id="200" name="Picture 200" descr="Camero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1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pic>
      <xdr:nvPicPr>
        <xdr:cNvPr id="201" name="Picture 201" descr="Niger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657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123825</xdr:rowOff>
    </xdr:to>
    <xdr:pic>
      <xdr:nvPicPr>
        <xdr:cNvPr id="202" name="Picture 202" descr="Spai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495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123825</xdr:rowOff>
    </xdr:to>
    <xdr:pic>
      <xdr:nvPicPr>
        <xdr:cNvPr id="203" name="Picture 203" descr="Brazil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819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123825</xdr:rowOff>
    </xdr:to>
    <xdr:pic>
      <xdr:nvPicPr>
        <xdr:cNvPr id="204" name="Picture 204" descr="Argentina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81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123825</xdr:rowOff>
    </xdr:to>
    <xdr:pic>
      <xdr:nvPicPr>
        <xdr:cNvPr id="205" name="Picture 205" descr="Ethiopia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304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pic>
      <xdr:nvPicPr>
        <xdr:cNvPr id="206" name="Picture 206" descr="Zambia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466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pic>
      <xdr:nvPicPr>
        <xdr:cNvPr id="207" name="Picture 207" descr="Ghana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628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123825</xdr:rowOff>
    </xdr:to>
    <xdr:pic>
      <xdr:nvPicPr>
        <xdr:cNvPr id="208" name="Picture 208" descr="Poland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143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123825</xdr:rowOff>
    </xdr:to>
    <xdr:pic>
      <xdr:nvPicPr>
        <xdr:cNvPr id="209" name="Picture 209" descr="Uruguay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790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123825</xdr:rowOff>
    </xdr:to>
    <xdr:pic>
      <xdr:nvPicPr>
        <xdr:cNvPr id="210" name="Picture 210" descr="Egypt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2114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123825</xdr:rowOff>
    </xdr:to>
    <xdr:pic>
      <xdr:nvPicPr>
        <xdr:cNvPr id="211" name="Picture 211" descr="Ecuador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2600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123825</xdr:rowOff>
    </xdr:to>
    <xdr:pic>
      <xdr:nvPicPr>
        <xdr:cNvPr id="212" name="Picture 212" descr="Italy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2276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123825</xdr:rowOff>
    </xdr:to>
    <xdr:pic>
      <xdr:nvPicPr>
        <xdr:cNvPr id="213" name="Picture 213" descr="Saudi Arabia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2762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123825</xdr:rowOff>
    </xdr:to>
    <xdr:pic>
      <xdr:nvPicPr>
        <xdr:cNvPr id="214" name="Picture 214" descr="Czech Republic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2438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123825</xdr:rowOff>
    </xdr:to>
    <xdr:pic>
      <xdr:nvPicPr>
        <xdr:cNvPr id="215" name="Picture 215" descr="Germany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2924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123825</xdr:rowOff>
    </xdr:to>
    <xdr:pic>
      <xdr:nvPicPr>
        <xdr:cNvPr id="216" name="Picture 216" descr="Algeria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3248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123825</xdr:rowOff>
    </xdr:to>
    <xdr:pic>
      <xdr:nvPicPr>
        <xdr:cNvPr id="217" name="Picture 217" descr="USA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3409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123825</xdr:rowOff>
    </xdr:to>
    <xdr:pic>
      <xdr:nvPicPr>
        <xdr:cNvPr id="218" name="Picture 218" descr="Australia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3571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123825</xdr:rowOff>
    </xdr:to>
    <xdr:pic>
      <xdr:nvPicPr>
        <xdr:cNvPr id="219" name="Picture 219" descr="Kenya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3733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123825</xdr:rowOff>
    </xdr:to>
    <xdr:pic>
      <xdr:nvPicPr>
        <xdr:cNvPr id="220" name="Picture 220" descr="Senegal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3895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123825</xdr:rowOff>
    </xdr:to>
    <xdr:pic>
      <xdr:nvPicPr>
        <xdr:cNvPr id="221" name="Picture 221" descr="Côte d'Ivoire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405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123825</xdr:rowOff>
    </xdr:to>
    <xdr:pic>
      <xdr:nvPicPr>
        <xdr:cNvPr id="222" name="Picture 222" descr="Colombia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4219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123825</xdr:rowOff>
    </xdr:to>
    <xdr:pic>
      <xdr:nvPicPr>
        <xdr:cNvPr id="223" name="Picture 223" descr="Ukraine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1952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123825</xdr:rowOff>
    </xdr:to>
    <xdr:pic>
      <xdr:nvPicPr>
        <xdr:cNvPr id="224" name="Picture 224" descr="Tunisia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4381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123825</xdr:rowOff>
    </xdr:to>
    <xdr:pic>
      <xdr:nvPicPr>
        <xdr:cNvPr id="225" name="Picture 225" descr="Morocco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4705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123825</xdr:rowOff>
    </xdr:to>
    <xdr:pic>
      <xdr:nvPicPr>
        <xdr:cNvPr id="226" name="Picture 226" descr="China PR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4867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123825</xdr:rowOff>
    </xdr:to>
    <xdr:pic>
      <xdr:nvPicPr>
        <xdr:cNvPr id="227" name="Picture 227" descr="France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454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123825</xdr:rowOff>
    </xdr:to>
    <xdr:pic>
      <xdr:nvPicPr>
        <xdr:cNvPr id="228" name="Picture 228" descr="Angola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5191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123825</xdr:rowOff>
    </xdr:to>
    <xdr:pic>
      <xdr:nvPicPr>
        <xdr:cNvPr id="229" name="Picture 229" descr="Russia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502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123825</xdr:rowOff>
    </xdr:to>
    <xdr:pic>
      <xdr:nvPicPr>
        <xdr:cNvPr id="230" name="Picture 230" descr="Chile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5514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123825</xdr:rowOff>
    </xdr:to>
    <xdr:pic>
      <xdr:nvPicPr>
        <xdr:cNvPr id="231" name="Picture 231" descr="Slovakia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5676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123825</xdr:rowOff>
    </xdr:to>
    <xdr:pic>
      <xdr:nvPicPr>
        <xdr:cNvPr id="232" name="Picture 232" descr="Japan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6162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123825</xdr:rowOff>
    </xdr:to>
    <xdr:pic>
      <xdr:nvPicPr>
        <xdr:cNvPr id="233" name="Picture 233" descr="Gabon"/>
        <xdr:cNvPicPr preferRelativeResize="1">
          <a:picLocks noChangeAspect="1"/>
        </xdr:cNvPicPr>
      </xdr:nvPicPr>
      <xdr:blipFill>
        <a:blip r:link="rId34"/>
        <a:stretch>
          <a:fillRect/>
        </a:stretch>
      </xdr:blipFill>
      <xdr:spPr>
        <a:xfrm>
          <a:off x="0" y="6324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123825</xdr:rowOff>
    </xdr:to>
    <xdr:pic>
      <xdr:nvPicPr>
        <xdr:cNvPr id="234" name="Picture 234" descr="Costa Rica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6486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123825</xdr:rowOff>
    </xdr:to>
    <xdr:pic>
      <xdr:nvPicPr>
        <xdr:cNvPr id="235" name="Picture 235" descr="Lithuania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6648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123825</xdr:rowOff>
    </xdr:to>
    <xdr:pic>
      <xdr:nvPicPr>
        <xdr:cNvPr id="236" name="Picture 236" descr="Paraguay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6810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123825</xdr:rowOff>
    </xdr:to>
    <xdr:pic>
      <xdr:nvPicPr>
        <xdr:cNvPr id="237" name="Picture 237" descr="Mexico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123825</xdr:rowOff>
    </xdr:to>
    <xdr:pic>
      <xdr:nvPicPr>
        <xdr:cNvPr id="238" name="Picture 238" descr="Romania"/>
        <xdr:cNvPicPr preferRelativeResize="1">
          <a:picLocks noChangeAspect="1"/>
        </xdr:cNvPicPr>
      </xdr:nvPicPr>
      <xdr:blipFill>
        <a:blip r:link="rId39"/>
        <a:stretch>
          <a:fillRect/>
        </a:stretch>
      </xdr:blipFill>
      <xdr:spPr>
        <a:xfrm>
          <a:off x="0" y="5838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123825</xdr:rowOff>
    </xdr:to>
    <xdr:pic>
      <xdr:nvPicPr>
        <xdr:cNvPr id="239" name="Picture 239" descr="Venezuela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7134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123825</xdr:rowOff>
    </xdr:to>
    <xdr:pic>
      <xdr:nvPicPr>
        <xdr:cNvPr id="240" name="Picture 240" descr="Honduras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7296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123825</xdr:rowOff>
    </xdr:to>
    <xdr:pic>
      <xdr:nvPicPr>
        <xdr:cNvPr id="241" name="Picture 241" descr="Montenegro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6000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123825</xdr:rowOff>
    </xdr:to>
    <xdr:pic>
      <xdr:nvPicPr>
        <xdr:cNvPr id="242" name="Picture 242" descr="Korea Republic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8267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123825</xdr:rowOff>
    </xdr:to>
    <xdr:pic>
      <xdr:nvPicPr>
        <xdr:cNvPr id="243" name="Picture 243" descr="Burkina Faso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8429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44" name="Picture 244" descr="Latvia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45" name="Picture 245" descr="Belarus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123825</xdr:rowOff>
    </xdr:to>
    <xdr:pic>
      <xdr:nvPicPr>
        <xdr:cNvPr id="246" name="Picture 246" descr="Norway"/>
        <xdr:cNvPicPr preferRelativeResize="1">
          <a:picLocks noChangeAspect="1"/>
        </xdr:cNvPicPr>
      </xdr:nvPicPr>
      <xdr:blipFill>
        <a:blip r:link="rId47"/>
        <a:stretch>
          <a:fillRect/>
        </a:stretch>
      </xdr:blipFill>
      <xdr:spPr>
        <a:xfrm>
          <a:off x="0" y="7620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123825</xdr:rowOff>
    </xdr:to>
    <xdr:pic>
      <xdr:nvPicPr>
        <xdr:cNvPr id="247" name="Picture 247" descr="Estonia"/>
        <xdr:cNvPicPr preferRelativeResize="1">
          <a:picLocks noChangeAspect="1"/>
        </xdr:cNvPicPr>
      </xdr:nvPicPr>
      <xdr:blipFill>
        <a:blip r:link="rId48"/>
        <a:stretch>
          <a:fillRect/>
        </a:stretch>
      </xdr:blipFill>
      <xdr:spPr>
        <a:xfrm>
          <a:off x="0" y="7943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123825</xdr:rowOff>
    </xdr:to>
    <xdr:pic>
      <xdr:nvPicPr>
        <xdr:cNvPr id="248" name="Picture 248" descr="Netherlands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3086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123825</xdr:rowOff>
    </xdr:to>
    <xdr:pic>
      <xdr:nvPicPr>
        <xdr:cNvPr id="249" name="Picture 249" descr="England"/>
        <xdr:cNvPicPr preferRelativeResize="1">
          <a:picLocks noChangeAspect="1"/>
        </xdr:cNvPicPr>
      </xdr:nvPicPr>
      <xdr:blipFill>
        <a:blip r:link="rId50"/>
        <a:stretch>
          <a:fillRect/>
        </a:stretch>
      </xdr:blipFill>
      <xdr:spPr>
        <a:xfrm>
          <a:off x="0" y="8591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123825</xdr:rowOff>
    </xdr:to>
    <xdr:pic>
      <xdr:nvPicPr>
        <xdr:cNvPr id="250" name="Picture 250" descr="Serbia"/>
        <xdr:cNvPicPr preferRelativeResize="1">
          <a:picLocks noChangeAspect="1"/>
        </xdr:cNvPicPr>
      </xdr:nvPicPr>
      <xdr:blipFill>
        <a:blip r:link="rId51"/>
        <a:stretch>
          <a:fillRect/>
        </a:stretch>
      </xdr:blipFill>
      <xdr:spPr>
        <a:xfrm>
          <a:off x="0" y="7781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123825</xdr:rowOff>
    </xdr:to>
    <xdr:pic>
      <xdr:nvPicPr>
        <xdr:cNvPr id="251" name="Picture 251" descr="Hungary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8105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2" name="Picture 252" descr="Mozambique"/>
        <xdr:cNvPicPr preferRelativeResize="1">
          <a:picLocks noChangeAspect="1"/>
        </xdr:cNvPicPr>
      </xdr:nvPicPr>
      <xdr:blipFill>
        <a:blip r:link="rId5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3" name="Picture 253" descr="South Africa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4" name="Picture 254" descr="Jamaica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5" name="Picture 255" descr="New Zealand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6" name="Picture 256" descr="FYR Macedonia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7" name="Picture 257" descr="Greece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123825</xdr:rowOff>
    </xdr:to>
    <xdr:pic>
      <xdr:nvPicPr>
        <xdr:cNvPr id="258" name="Picture 258" descr="Portugal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5353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59" name="Picture 259" descr="Mali"/>
        <xdr:cNvPicPr preferRelativeResize="1">
          <a:picLocks noChangeAspect="1"/>
        </xdr:cNvPicPr>
      </xdr:nvPicPr>
      <xdr:blipFill>
        <a:blip r:link="rId6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0" name="Picture 260" descr="Bosnia-Herzegovina"/>
        <xdr:cNvPicPr preferRelativeResize="1">
          <a:picLocks noChangeAspect="1"/>
        </xdr:cNvPicPr>
      </xdr:nvPicPr>
      <xdr:blipFill>
        <a:blip r:link="rId6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123825</xdr:rowOff>
    </xdr:to>
    <xdr:pic>
      <xdr:nvPicPr>
        <xdr:cNvPr id="261" name="Picture 261" descr="Turkey"/>
        <xdr:cNvPicPr preferRelativeResize="1">
          <a:picLocks noChangeAspect="1"/>
        </xdr:cNvPicPr>
      </xdr:nvPicPr>
      <xdr:blipFill>
        <a:blip r:link="rId62"/>
        <a:stretch>
          <a:fillRect/>
        </a:stretch>
      </xdr:blipFill>
      <xdr:spPr>
        <a:xfrm>
          <a:off x="0" y="7458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2" name="Picture 262" descr="Iran"/>
        <xdr:cNvPicPr preferRelativeResize="1">
          <a:picLocks noChangeAspect="1"/>
        </xdr:cNvPicPr>
      </xdr:nvPicPr>
      <xdr:blipFill>
        <a:blip r:link="rId6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3" name="Picture 263" descr="Peru"/>
        <xdr:cNvPicPr preferRelativeResize="1">
          <a:picLocks noChangeAspect="1"/>
        </xdr:cNvPicPr>
      </xdr:nvPicPr>
      <xdr:blipFill>
        <a:blip r:link="rId6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4" name="Picture 264" descr="Sweden"/>
        <xdr:cNvPicPr preferRelativeResize="1">
          <a:picLocks noChangeAspect="1"/>
        </xdr:cNvPicPr>
      </xdr:nvPicPr>
      <xdr:blipFill>
        <a:blip r:link="rId6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5" name="Picture 265" descr="Guinea"/>
        <xdr:cNvPicPr preferRelativeResize="1">
          <a:picLocks noChangeAspect="1"/>
        </xdr:cNvPicPr>
      </xdr:nvPicPr>
      <xdr:blipFill>
        <a:blip r:link="rId6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6" name="Picture 266" descr="Uganda"/>
        <xdr:cNvPicPr preferRelativeResize="1">
          <a:picLocks noChangeAspect="1"/>
        </xdr:cNvPicPr>
      </xdr:nvPicPr>
      <xdr:blipFill>
        <a:blip r:link="rId6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7" name="Picture 267" descr="Qatar"/>
        <xdr:cNvPicPr preferRelativeResize="1">
          <a:picLocks noChangeAspect="1"/>
        </xdr:cNvPicPr>
      </xdr:nvPicPr>
      <xdr:blipFill>
        <a:blip r:link="rId6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8" name="Picture 268" descr="Kuwait"/>
        <xdr:cNvPicPr preferRelativeResize="1">
          <a:picLocks noChangeAspect="1"/>
        </xdr:cNvPicPr>
      </xdr:nvPicPr>
      <xdr:blipFill>
        <a:blip r:link="rId6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69" name="Picture 269" descr="Oman"/>
        <xdr:cNvPicPr preferRelativeResize="1">
          <a:picLocks noChangeAspect="1"/>
        </xdr:cNvPicPr>
      </xdr:nvPicPr>
      <xdr:blipFill>
        <a:blip r:link="rId7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0" name="Picture 270" descr="Albania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1" name="Picture 271" descr="Canada"/>
        <xdr:cNvPicPr preferRelativeResize="1">
          <a:picLocks noChangeAspect="1"/>
        </xdr:cNvPicPr>
      </xdr:nvPicPr>
      <xdr:blipFill>
        <a:blip r:link="rId7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2" name="Picture 272" descr="Bolivia"/>
        <xdr:cNvPicPr preferRelativeResize="1">
          <a:picLocks noChangeAspect="1"/>
        </xdr:cNvPicPr>
      </xdr:nvPicPr>
      <xdr:blipFill>
        <a:blip r:link="rId7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3" name="Picture 273" descr="Congo"/>
        <xdr:cNvPicPr preferRelativeResize="1">
          <a:picLocks noChangeAspect="1"/>
        </xdr:cNvPicPr>
      </xdr:nvPicPr>
      <xdr:blipFill>
        <a:blip r:link="rId7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4" name="Picture 274" descr="Libya"/>
        <xdr:cNvPicPr preferRelativeResize="1">
          <a:picLocks noChangeAspect="1"/>
        </xdr:cNvPicPr>
      </xdr:nvPicPr>
      <xdr:blipFill>
        <a:blip r:link="rId7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5" name="Picture 275" descr="Zimbabwe"/>
        <xdr:cNvPicPr preferRelativeResize="1">
          <a:picLocks noChangeAspect="1"/>
        </xdr:cNvPicPr>
      </xdr:nvPicPr>
      <xdr:blipFill>
        <a:blip r:link="rId7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6" name="Picture 276" descr="Slovenia"/>
        <xdr:cNvPicPr preferRelativeResize="1">
          <a:picLocks noChangeAspect="1"/>
        </xdr:cNvPicPr>
      </xdr:nvPicPr>
      <xdr:blipFill>
        <a:blip r:link="rId7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7" name="Picture 277" descr="Croatia"/>
        <xdr:cNvPicPr preferRelativeResize="1">
          <a:picLocks noChangeAspect="1"/>
        </xdr:cNvPicPr>
      </xdr:nvPicPr>
      <xdr:blipFill>
        <a:blip r:link="rId7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8" name="Picture 278" descr="Bulgaria"/>
        <xdr:cNvPicPr preferRelativeResize="1">
          <a:picLocks noChangeAspect="1"/>
        </xdr:cNvPicPr>
      </xdr:nvPicPr>
      <xdr:blipFill>
        <a:blip r:link="rId7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79" name="Picture 279" descr="Bahrain"/>
        <xdr:cNvPicPr preferRelativeResize="1">
          <a:picLocks noChangeAspect="1"/>
        </xdr:cNvPicPr>
      </xdr:nvPicPr>
      <xdr:blipFill>
        <a:blip r:link="rId8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0" name="Picture 280" descr="Thailand"/>
        <xdr:cNvPicPr preferRelativeResize="1">
          <a:picLocks noChangeAspect="1"/>
        </xdr:cNvPicPr>
      </xdr:nvPicPr>
      <xdr:blipFill>
        <a:blip r:link="rId8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1" name="Picture 281" descr="Gambia"/>
        <xdr:cNvPicPr preferRelativeResize="1">
          <a:picLocks noChangeAspect="1"/>
        </xdr:cNvPicPr>
      </xdr:nvPicPr>
      <xdr:blipFill>
        <a:blip r:link="rId8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2" name="Picture 282" descr="Cyprus"/>
        <xdr:cNvPicPr preferRelativeResize="1">
          <a:picLocks noChangeAspect="1"/>
        </xdr:cNvPicPr>
      </xdr:nvPicPr>
      <xdr:blipFill>
        <a:blip r:link="rId8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3" name="Picture 283" descr="Austria"/>
        <xdr:cNvPicPr preferRelativeResize="1">
          <a:picLocks noChangeAspect="1"/>
        </xdr:cNvPicPr>
      </xdr:nvPicPr>
      <xdr:blipFill>
        <a:blip r:link="rId8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4" name="Picture 284" descr="Finland"/>
        <xdr:cNvPicPr preferRelativeResize="1">
          <a:picLocks noChangeAspect="1"/>
        </xdr:cNvPicPr>
      </xdr:nvPicPr>
      <xdr:blipFill>
        <a:blip r:link="rId8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5" name="Picture 285" descr="Republic of Ireland"/>
        <xdr:cNvPicPr preferRelativeResize="1">
          <a:picLocks noChangeAspect="1"/>
        </xdr:cNvPicPr>
      </xdr:nvPicPr>
      <xdr:blipFill>
        <a:blip r:link="rId8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6" name="Picture 286" descr="Korea DPR"/>
        <xdr:cNvPicPr preferRelativeResize="1">
          <a:picLocks noChangeAspect="1"/>
        </xdr:cNvPicPr>
      </xdr:nvPicPr>
      <xdr:blipFill>
        <a:blip r:link="rId8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7" name="Picture 287" descr="Tanzania"/>
        <xdr:cNvPicPr preferRelativeResize="1">
          <a:picLocks noChangeAspect="1"/>
        </xdr:cNvPicPr>
      </xdr:nvPicPr>
      <xdr:blipFill>
        <a:blip r:link="rId8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8" name="Picture 288" descr="Vietnam"/>
        <xdr:cNvPicPr preferRelativeResize="1">
          <a:picLocks noChangeAspect="1"/>
        </xdr:cNvPicPr>
      </xdr:nvPicPr>
      <xdr:blipFill>
        <a:blip r:link="rId8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89" name="Picture 289" descr="Kazakhstan"/>
        <xdr:cNvPicPr preferRelativeResize="1">
          <a:picLocks noChangeAspect="1"/>
        </xdr:cNvPicPr>
      </xdr:nvPicPr>
      <xdr:blipFill>
        <a:blip r:link="rId9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0" name="Picture 290" descr="Laos"/>
        <xdr:cNvPicPr preferRelativeResize="1">
          <a:picLocks noChangeAspect="1"/>
        </xdr:cNvPicPr>
      </xdr:nvPicPr>
      <xdr:blipFill>
        <a:blip r:link="rId9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1" name="Picture 291" descr="Guinea-Bissau"/>
        <xdr:cNvPicPr preferRelativeResize="1">
          <a:picLocks noChangeAspect="1"/>
        </xdr:cNvPicPr>
      </xdr:nvPicPr>
      <xdr:blipFill>
        <a:blip r:link="rId9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2" name="Picture 292" descr="Switzerland"/>
        <xdr:cNvPicPr preferRelativeResize="1">
          <a:picLocks noChangeAspect="1"/>
        </xdr:cNvPicPr>
      </xdr:nvPicPr>
      <xdr:blipFill>
        <a:blip r:link="rId9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3" name="Picture 293" descr="Georgia"/>
        <xdr:cNvPicPr preferRelativeResize="1">
          <a:picLocks noChangeAspect="1"/>
        </xdr:cNvPicPr>
      </xdr:nvPicPr>
      <xdr:blipFill>
        <a:blip r:link="rId9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4" name="Picture 294" descr="Congo DR"/>
        <xdr:cNvPicPr preferRelativeResize="1">
          <a:picLocks noChangeAspect="1"/>
        </xdr:cNvPicPr>
      </xdr:nvPicPr>
      <xdr:blipFill>
        <a:blip r:link="rId9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5" name="Picture 295" descr="Jordan"/>
        <xdr:cNvPicPr preferRelativeResize="1">
          <a:picLocks noChangeAspect="1"/>
        </xdr:cNvPicPr>
      </xdr:nvPicPr>
      <xdr:blipFill>
        <a:blip r:link="rId9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6" name="Picture 296" descr="Rwanda"/>
        <xdr:cNvPicPr preferRelativeResize="1">
          <a:picLocks noChangeAspect="1"/>
        </xdr:cNvPicPr>
      </xdr:nvPicPr>
      <xdr:blipFill>
        <a:blip r:link="rId9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7" name="Picture 297" descr="Sudan"/>
        <xdr:cNvPicPr preferRelativeResize="1">
          <a:picLocks noChangeAspect="1"/>
        </xdr:cNvPicPr>
      </xdr:nvPicPr>
      <xdr:blipFill>
        <a:blip r:link="rId9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8" name="Picture 298" descr="Namibia"/>
        <xdr:cNvPicPr preferRelativeResize="1">
          <a:picLocks noChangeAspect="1"/>
        </xdr:cNvPicPr>
      </xdr:nvPicPr>
      <xdr:blipFill>
        <a:blip r:link="rId9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299" name="Picture 299" descr="United Arab Emirates"/>
        <xdr:cNvPicPr preferRelativeResize="1">
          <a:picLocks noChangeAspect="1"/>
        </xdr:cNvPicPr>
      </xdr:nvPicPr>
      <xdr:blipFill>
        <a:blip r:link="rId10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0" name="Picture 300" descr="Iraq"/>
        <xdr:cNvPicPr preferRelativeResize="1">
          <a:picLocks noChangeAspect="1"/>
        </xdr:cNvPicPr>
      </xdr:nvPicPr>
      <xdr:blipFill>
        <a:blip r:link="rId10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1" name="Picture 301" descr="Uzbekistan"/>
        <xdr:cNvPicPr preferRelativeResize="1">
          <a:picLocks noChangeAspect="1"/>
        </xdr:cNvPicPr>
      </xdr:nvPicPr>
      <xdr:blipFill>
        <a:blip r:link="rId10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2" name="Picture 302" descr="Chad"/>
        <xdr:cNvPicPr preferRelativeResize="1">
          <a:picLocks noChangeAspect="1"/>
        </xdr:cNvPicPr>
      </xdr:nvPicPr>
      <xdr:blipFill>
        <a:blip r:link="rId10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3" name="Picture 303" descr="India"/>
        <xdr:cNvPicPr preferRelativeResize="1">
          <a:picLocks noChangeAspect="1"/>
        </xdr:cNvPicPr>
      </xdr:nvPicPr>
      <xdr:blipFill>
        <a:blip r:link="rId10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4" name="Picture 304" descr="Eritrea"/>
        <xdr:cNvPicPr preferRelativeResize="1">
          <a:picLocks noChangeAspect="1"/>
        </xdr:cNvPicPr>
      </xdr:nvPicPr>
      <xdr:blipFill>
        <a:blip r:link="rId10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5" name="Picture 305" descr="Mongolia"/>
        <xdr:cNvPicPr preferRelativeResize="1">
          <a:picLocks noChangeAspect="1"/>
        </xdr:cNvPicPr>
      </xdr:nvPicPr>
      <xdr:blipFill>
        <a:blip r:link="rId10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6" name="Picture 306" descr="Sierra Leone"/>
        <xdr:cNvPicPr preferRelativeResize="1">
          <a:picLocks noChangeAspect="1"/>
        </xdr:cNvPicPr>
      </xdr:nvPicPr>
      <xdr:blipFill>
        <a:blip r:link="rId10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123825</xdr:rowOff>
    </xdr:to>
    <xdr:pic>
      <xdr:nvPicPr>
        <xdr:cNvPr id="307" name="Picture 307" descr="Fiji"/>
        <xdr:cNvPicPr preferRelativeResize="1">
          <a:picLocks noChangeAspect="1"/>
        </xdr:cNvPicPr>
      </xdr:nvPicPr>
      <xdr:blipFill>
        <a:blip r:link="rId108"/>
        <a:stretch>
          <a:fillRect/>
        </a:stretch>
      </xdr:blipFill>
      <xdr:spPr>
        <a:xfrm>
          <a:off x="0" y="8753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08" name="Picture 308" descr="Iceland"/>
        <xdr:cNvPicPr preferRelativeResize="1">
          <a:picLocks noChangeAspect="1"/>
        </xdr:cNvPicPr>
      </xdr:nvPicPr>
      <xdr:blipFill>
        <a:blip r:link="rId10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123825</xdr:rowOff>
    </xdr:to>
    <xdr:pic>
      <xdr:nvPicPr>
        <xdr:cNvPr id="309" name="Picture 309" descr="Belgium"/>
        <xdr:cNvPicPr preferRelativeResize="1">
          <a:picLocks noChangeAspect="1"/>
        </xdr:cNvPicPr>
      </xdr:nvPicPr>
      <xdr:blipFill>
        <a:blip r:link="rId110"/>
        <a:stretch>
          <a:fillRect/>
        </a:stretch>
      </xdr:blipFill>
      <xdr:spPr>
        <a:xfrm>
          <a:off x="0" y="8915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123825</xdr:rowOff>
    </xdr:to>
    <xdr:pic>
      <xdr:nvPicPr>
        <xdr:cNvPr id="310" name="Picture 310" descr="Moldova"/>
        <xdr:cNvPicPr preferRelativeResize="1">
          <a:picLocks noChangeAspect="1"/>
        </xdr:cNvPicPr>
      </xdr:nvPicPr>
      <xdr:blipFill>
        <a:blip r:link="rId111"/>
        <a:stretch>
          <a:fillRect/>
        </a:stretch>
      </xdr:blipFill>
      <xdr:spPr>
        <a:xfrm>
          <a:off x="0" y="9077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123825</xdr:rowOff>
    </xdr:to>
    <xdr:pic>
      <xdr:nvPicPr>
        <xdr:cNvPr id="311" name="Picture 311" descr="Myanmar"/>
        <xdr:cNvPicPr preferRelativeResize="1">
          <a:picLocks noChangeAspect="1"/>
        </xdr:cNvPicPr>
      </xdr:nvPicPr>
      <xdr:blipFill>
        <a:blip r:link="rId112"/>
        <a:stretch>
          <a:fillRect/>
        </a:stretch>
      </xdr:blipFill>
      <xdr:spPr>
        <a:xfrm>
          <a:off x="0" y="9239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123825</xdr:rowOff>
    </xdr:to>
    <xdr:pic>
      <xdr:nvPicPr>
        <xdr:cNvPr id="312" name="Picture 312" descr="Suriname"/>
        <xdr:cNvPicPr preferRelativeResize="1">
          <a:picLocks noChangeAspect="1"/>
        </xdr:cNvPicPr>
      </xdr:nvPicPr>
      <xdr:blipFill>
        <a:blip r:link="rId113"/>
        <a:stretch>
          <a:fillRect/>
        </a:stretch>
      </xdr:blipFill>
      <xdr:spPr>
        <a:xfrm>
          <a:off x="0" y="9401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123825</xdr:rowOff>
    </xdr:to>
    <xdr:pic>
      <xdr:nvPicPr>
        <xdr:cNvPr id="313" name="Picture 313" descr="Malta"/>
        <xdr:cNvPicPr preferRelativeResize="1">
          <a:picLocks noChangeAspect="1"/>
        </xdr:cNvPicPr>
      </xdr:nvPicPr>
      <xdr:blipFill>
        <a:blip r:link="rId114"/>
        <a:stretch>
          <a:fillRect/>
        </a:stretch>
      </xdr:blipFill>
      <xdr:spPr>
        <a:xfrm>
          <a:off x="0" y="9563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123825</xdr:rowOff>
    </xdr:to>
    <xdr:pic>
      <xdr:nvPicPr>
        <xdr:cNvPr id="314" name="Picture 314" descr="Benin"/>
        <xdr:cNvPicPr preferRelativeResize="1">
          <a:picLocks noChangeAspect="1"/>
        </xdr:cNvPicPr>
      </xdr:nvPicPr>
      <xdr:blipFill>
        <a:blip r:link="rId115"/>
        <a:stretch>
          <a:fillRect/>
        </a:stretch>
      </xdr:blipFill>
      <xdr:spPr>
        <a:xfrm>
          <a:off x="0" y="9725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123825</xdr:rowOff>
    </xdr:to>
    <xdr:pic>
      <xdr:nvPicPr>
        <xdr:cNvPr id="315" name="Picture 315" descr="Denmark"/>
        <xdr:cNvPicPr preferRelativeResize="1">
          <a:picLocks noChangeAspect="1"/>
        </xdr:cNvPicPr>
      </xdr:nvPicPr>
      <xdr:blipFill>
        <a:blip r:link="rId116"/>
        <a:stretch>
          <a:fillRect/>
        </a:stretch>
      </xdr:blipFill>
      <xdr:spPr>
        <a:xfrm>
          <a:off x="0" y="9886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123825</xdr:rowOff>
    </xdr:to>
    <xdr:pic>
      <xdr:nvPicPr>
        <xdr:cNvPr id="316" name="Picture 316" descr="Israel"/>
        <xdr:cNvPicPr preferRelativeResize="1">
          <a:picLocks noChangeAspect="1"/>
        </xdr:cNvPicPr>
      </xdr:nvPicPr>
      <xdr:blipFill>
        <a:blip r:link="rId117"/>
        <a:stretch>
          <a:fillRect/>
        </a:stretch>
      </xdr:blipFill>
      <xdr:spPr>
        <a:xfrm>
          <a:off x="0" y="10048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123825</xdr:rowOff>
    </xdr:to>
    <xdr:pic>
      <xdr:nvPicPr>
        <xdr:cNvPr id="317" name="Picture 317" descr="Azerbaijan"/>
        <xdr:cNvPicPr preferRelativeResize="1">
          <a:picLocks noChangeAspect="1"/>
        </xdr:cNvPicPr>
      </xdr:nvPicPr>
      <xdr:blipFill>
        <a:blip r:link="rId118"/>
        <a:stretch>
          <a:fillRect/>
        </a:stretch>
      </xdr:blipFill>
      <xdr:spPr>
        <a:xfrm>
          <a:off x="0" y="10210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318" name="Picture 318" descr="Armenia"/>
        <xdr:cNvPicPr preferRelativeResize="1">
          <a:picLocks noChangeAspect="1"/>
        </xdr:cNvPicPr>
      </xdr:nvPicPr>
      <xdr:blipFill>
        <a:blip r:link="rId11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123825</xdr:rowOff>
    </xdr:to>
    <xdr:pic>
      <xdr:nvPicPr>
        <xdr:cNvPr id="319" name="Picture 319" descr="Togo"/>
        <xdr:cNvPicPr preferRelativeResize="1">
          <a:picLocks noChangeAspect="1"/>
        </xdr:cNvPicPr>
      </xdr:nvPicPr>
      <xdr:blipFill>
        <a:blip r:link="rId120"/>
        <a:stretch>
          <a:fillRect/>
        </a:stretch>
      </xdr:blipFill>
      <xdr:spPr>
        <a:xfrm>
          <a:off x="0" y="10372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123825</xdr:rowOff>
    </xdr:to>
    <xdr:pic>
      <xdr:nvPicPr>
        <xdr:cNvPr id="320" name="Picture 320" descr="El Salvador"/>
        <xdr:cNvPicPr preferRelativeResize="1">
          <a:picLocks noChangeAspect="1"/>
        </xdr:cNvPicPr>
      </xdr:nvPicPr>
      <xdr:blipFill>
        <a:blip r:link="rId121"/>
        <a:stretch>
          <a:fillRect/>
        </a:stretch>
      </xdr:blipFill>
      <xdr:spPr>
        <a:xfrm>
          <a:off x="0" y="10534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123825</xdr:rowOff>
    </xdr:to>
    <xdr:pic>
      <xdr:nvPicPr>
        <xdr:cNvPr id="321" name="Picture 321" descr="Panama"/>
        <xdr:cNvPicPr preferRelativeResize="1">
          <a:picLocks noChangeAspect="1"/>
        </xdr:cNvPicPr>
      </xdr:nvPicPr>
      <xdr:blipFill>
        <a:blip r:link="rId122"/>
        <a:stretch>
          <a:fillRect/>
        </a:stretch>
      </xdr:blipFill>
      <xdr:spPr>
        <a:xfrm>
          <a:off x="0" y="10696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123825</xdr:rowOff>
    </xdr:to>
    <xdr:pic>
      <xdr:nvPicPr>
        <xdr:cNvPr id="322" name="Picture 322" descr="Malawi"/>
        <xdr:cNvPicPr preferRelativeResize="1">
          <a:picLocks noChangeAspect="1"/>
        </xdr:cNvPicPr>
      </xdr:nvPicPr>
      <xdr:blipFill>
        <a:blip r:link="rId123"/>
        <a:stretch>
          <a:fillRect/>
        </a:stretch>
      </xdr:blipFill>
      <xdr:spPr>
        <a:xfrm>
          <a:off x="0" y="10858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123825</xdr:rowOff>
    </xdr:to>
    <xdr:pic>
      <xdr:nvPicPr>
        <xdr:cNvPr id="323" name="Picture 323" descr="Trinidad and Tobago"/>
        <xdr:cNvPicPr preferRelativeResize="1">
          <a:picLocks noChangeAspect="1"/>
        </xdr:cNvPicPr>
      </xdr:nvPicPr>
      <xdr:blipFill>
        <a:blip r:link="rId124"/>
        <a:stretch>
          <a:fillRect/>
        </a:stretch>
      </xdr:blipFill>
      <xdr:spPr>
        <a:xfrm>
          <a:off x="0" y="11020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123825</xdr:rowOff>
    </xdr:to>
    <xdr:pic>
      <xdr:nvPicPr>
        <xdr:cNvPr id="324" name="Picture 324" descr="Haiti"/>
        <xdr:cNvPicPr preferRelativeResize="1">
          <a:picLocks noChangeAspect="1"/>
        </xdr:cNvPicPr>
      </xdr:nvPicPr>
      <xdr:blipFill>
        <a:blip r:link="rId125"/>
        <a:stretch>
          <a:fillRect/>
        </a:stretch>
      </xdr:blipFill>
      <xdr:spPr>
        <a:xfrm>
          <a:off x="0" y="11182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123825</xdr:rowOff>
    </xdr:to>
    <xdr:pic>
      <xdr:nvPicPr>
        <xdr:cNvPr id="325" name="Picture 325" descr="Syria"/>
        <xdr:cNvPicPr preferRelativeResize="1">
          <a:picLocks noChangeAspect="1"/>
        </xdr:cNvPicPr>
      </xdr:nvPicPr>
      <xdr:blipFill>
        <a:blip r:link="rId126"/>
        <a:stretch>
          <a:fillRect/>
        </a:stretch>
      </xdr:blipFill>
      <xdr:spPr>
        <a:xfrm>
          <a:off x="0" y="11344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123825</xdr:rowOff>
    </xdr:to>
    <xdr:pic>
      <xdr:nvPicPr>
        <xdr:cNvPr id="326" name="Picture 326" descr="Cape Verde Islands"/>
        <xdr:cNvPicPr preferRelativeResize="1">
          <a:picLocks noChangeAspect="1"/>
        </xdr:cNvPicPr>
      </xdr:nvPicPr>
      <xdr:blipFill>
        <a:blip r:link="rId127"/>
        <a:stretch>
          <a:fillRect/>
        </a:stretch>
      </xdr:blipFill>
      <xdr:spPr>
        <a:xfrm>
          <a:off x="0" y="11506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123825</xdr:rowOff>
    </xdr:to>
    <xdr:pic>
      <xdr:nvPicPr>
        <xdr:cNvPr id="327" name="Picture 327" descr="Yemen"/>
        <xdr:cNvPicPr preferRelativeResize="1">
          <a:picLocks noChangeAspect="1"/>
        </xdr:cNvPicPr>
      </xdr:nvPicPr>
      <xdr:blipFill>
        <a:blip r:link="rId128"/>
        <a:stretch>
          <a:fillRect/>
        </a:stretch>
      </xdr:blipFill>
      <xdr:spPr>
        <a:xfrm>
          <a:off x="0" y="11668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123825</xdr:rowOff>
    </xdr:to>
    <xdr:pic>
      <xdr:nvPicPr>
        <xdr:cNvPr id="328" name="Picture 328" descr="Faroe Islands"/>
        <xdr:cNvPicPr preferRelativeResize="1">
          <a:picLocks noChangeAspect="1"/>
        </xdr:cNvPicPr>
      </xdr:nvPicPr>
      <xdr:blipFill>
        <a:blip r:link="rId129"/>
        <a:stretch>
          <a:fillRect/>
        </a:stretch>
      </xdr:blipFill>
      <xdr:spPr>
        <a:xfrm>
          <a:off x="0" y="11830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123825</xdr:rowOff>
    </xdr:to>
    <xdr:pic>
      <xdr:nvPicPr>
        <xdr:cNvPr id="329" name="Picture 329" descr="Botswana"/>
        <xdr:cNvPicPr preferRelativeResize="1">
          <a:picLocks noChangeAspect="1"/>
        </xdr:cNvPicPr>
      </xdr:nvPicPr>
      <xdr:blipFill>
        <a:blip r:link="rId130"/>
        <a:stretch>
          <a:fillRect/>
        </a:stretch>
      </xdr:blipFill>
      <xdr:spPr>
        <a:xfrm>
          <a:off x="0" y="11991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123825</xdr:rowOff>
    </xdr:to>
    <xdr:pic>
      <xdr:nvPicPr>
        <xdr:cNvPr id="330" name="Picture 330" descr="Singapore"/>
        <xdr:cNvPicPr preferRelativeResize="1">
          <a:picLocks noChangeAspect="1"/>
        </xdr:cNvPicPr>
      </xdr:nvPicPr>
      <xdr:blipFill>
        <a:blip r:link="rId131"/>
        <a:stretch>
          <a:fillRect/>
        </a:stretch>
      </xdr:blipFill>
      <xdr:spPr>
        <a:xfrm>
          <a:off x="0" y="12153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123825</xdr:rowOff>
    </xdr:to>
    <xdr:pic>
      <xdr:nvPicPr>
        <xdr:cNvPr id="331" name="Picture 331" descr="Guatemala"/>
        <xdr:cNvPicPr preferRelativeResize="1">
          <a:picLocks noChangeAspect="1"/>
        </xdr:cNvPicPr>
      </xdr:nvPicPr>
      <xdr:blipFill>
        <a:blip r:link="rId132"/>
        <a:stretch>
          <a:fillRect/>
        </a:stretch>
      </xdr:blipFill>
      <xdr:spPr>
        <a:xfrm>
          <a:off x="0" y="12315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123825</xdr:rowOff>
    </xdr:to>
    <xdr:pic>
      <xdr:nvPicPr>
        <xdr:cNvPr id="332" name="Picture 332" descr="Turkmenistan"/>
        <xdr:cNvPicPr preferRelativeResize="1">
          <a:picLocks noChangeAspect="1"/>
        </xdr:cNvPicPr>
      </xdr:nvPicPr>
      <xdr:blipFill>
        <a:blip r:link="rId133"/>
        <a:stretch>
          <a:fillRect/>
        </a:stretch>
      </xdr:blipFill>
      <xdr:spPr>
        <a:xfrm>
          <a:off x="0" y="12477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123825</xdr:rowOff>
    </xdr:to>
    <xdr:pic>
      <xdr:nvPicPr>
        <xdr:cNvPr id="333" name="Picture 333" descr="Equatorial Guinea"/>
        <xdr:cNvPicPr preferRelativeResize="1">
          <a:picLocks noChangeAspect="1"/>
        </xdr:cNvPicPr>
      </xdr:nvPicPr>
      <xdr:blipFill>
        <a:blip r:link="rId134"/>
        <a:stretch>
          <a:fillRect/>
        </a:stretch>
      </xdr:blipFill>
      <xdr:spPr>
        <a:xfrm>
          <a:off x="0" y="12639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123825</xdr:rowOff>
    </xdr:to>
    <xdr:pic>
      <xdr:nvPicPr>
        <xdr:cNvPr id="334" name="Picture 334" descr="Bangladesh"/>
        <xdr:cNvPicPr preferRelativeResize="1">
          <a:picLocks noChangeAspect="1"/>
        </xdr:cNvPicPr>
      </xdr:nvPicPr>
      <xdr:blipFill>
        <a:blip r:link="rId135"/>
        <a:stretch>
          <a:fillRect/>
        </a:stretch>
      </xdr:blipFill>
      <xdr:spPr>
        <a:xfrm>
          <a:off x="0" y="12801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123825</xdr:rowOff>
    </xdr:to>
    <xdr:pic>
      <xdr:nvPicPr>
        <xdr:cNvPr id="335" name="Picture 335" descr="Burundi"/>
        <xdr:cNvPicPr preferRelativeResize="1">
          <a:picLocks noChangeAspect="1"/>
        </xdr:cNvPicPr>
      </xdr:nvPicPr>
      <xdr:blipFill>
        <a:blip r:link="rId136"/>
        <a:stretch>
          <a:fillRect/>
        </a:stretch>
      </xdr:blipFill>
      <xdr:spPr>
        <a:xfrm>
          <a:off x="0" y="12963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123825</xdr:rowOff>
    </xdr:to>
    <xdr:pic>
      <xdr:nvPicPr>
        <xdr:cNvPr id="336" name="Picture 336" descr="Tajikistan"/>
        <xdr:cNvPicPr preferRelativeResize="1">
          <a:picLocks noChangeAspect="1"/>
        </xdr:cNvPicPr>
      </xdr:nvPicPr>
      <xdr:blipFill>
        <a:blip r:link="rId137"/>
        <a:stretch>
          <a:fillRect/>
        </a:stretch>
      </xdr:blipFill>
      <xdr:spPr>
        <a:xfrm>
          <a:off x="0" y="13125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123825</xdr:rowOff>
    </xdr:to>
    <xdr:pic>
      <xdr:nvPicPr>
        <xdr:cNvPr id="337" name="Picture 337" descr="Lebanon"/>
        <xdr:cNvPicPr preferRelativeResize="1">
          <a:picLocks noChangeAspect="1"/>
        </xdr:cNvPicPr>
      </xdr:nvPicPr>
      <xdr:blipFill>
        <a:blip r:link="rId138"/>
        <a:stretch>
          <a:fillRect/>
        </a:stretch>
      </xdr:blipFill>
      <xdr:spPr>
        <a:xfrm>
          <a:off x="0" y="13287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123825</xdr:rowOff>
    </xdr:to>
    <xdr:pic>
      <xdr:nvPicPr>
        <xdr:cNvPr id="338" name="Picture 338" descr="Cuba"/>
        <xdr:cNvPicPr preferRelativeResize="1">
          <a:picLocks noChangeAspect="1"/>
        </xdr:cNvPicPr>
      </xdr:nvPicPr>
      <xdr:blipFill>
        <a:blip r:link="rId139"/>
        <a:stretch>
          <a:fillRect/>
        </a:stretch>
      </xdr:blipFill>
      <xdr:spPr>
        <a:xfrm>
          <a:off x="0" y="13449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123825</xdr:rowOff>
    </xdr:to>
    <xdr:pic>
      <xdr:nvPicPr>
        <xdr:cNvPr id="339" name="Picture 339" descr="Swaziland"/>
        <xdr:cNvPicPr preferRelativeResize="1">
          <a:picLocks noChangeAspect="1"/>
        </xdr:cNvPicPr>
      </xdr:nvPicPr>
      <xdr:blipFill>
        <a:blip r:link="rId140"/>
        <a:stretch>
          <a:fillRect/>
        </a:stretch>
      </xdr:blipFill>
      <xdr:spPr>
        <a:xfrm>
          <a:off x="0" y="13611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123825</xdr:rowOff>
    </xdr:to>
    <xdr:pic>
      <xdr:nvPicPr>
        <xdr:cNvPr id="340" name="Picture 340" descr="Pakistan"/>
        <xdr:cNvPicPr preferRelativeResize="1">
          <a:picLocks noChangeAspect="1"/>
        </xdr:cNvPicPr>
      </xdr:nvPicPr>
      <xdr:blipFill>
        <a:blip r:link="rId141"/>
        <a:stretch>
          <a:fillRect/>
        </a:stretch>
      </xdr:blipFill>
      <xdr:spPr>
        <a:xfrm>
          <a:off x="0" y="13773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123825</xdr:rowOff>
    </xdr:to>
    <xdr:pic>
      <xdr:nvPicPr>
        <xdr:cNvPr id="341" name="Picture 341" descr="Nepal"/>
        <xdr:cNvPicPr preferRelativeResize="1">
          <a:picLocks noChangeAspect="1"/>
        </xdr:cNvPicPr>
      </xdr:nvPicPr>
      <xdr:blipFill>
        <a:blip r:link="rId142"/>
        <a:stretch>
          <a:fillRect/>
        </a:stretch>
      </xdr:blipFill>
      <xdr:spPr>
        <a:xfrm>
          <a:off x="0" y="13935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123825</xdr:rowOff>
    </xdr:to>
    <xdr:pic>
      <xdr:nvPicPr>
        <xdr:cNvPr id="342" name="Picture 342" descr="Sri Lanka"/>
        <xdr:cNvPicPr preferRelativeResize="1">
          <a:picLocks noChangeAspect="1"/>
        </xdr:cNvPicPr>
      </xdr:nvPicPr>
      <xdr:blipFill>
        <a:blip r:link="rId143"/>
        <a:stretch>
          <a:fillRect/>
        </a:stretch>
      </xdr:blipFill>
      <xdr:spPr>
        <a:xfrm>
          <a:off x="0" y="14097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123825</xdr:rowOff>
    </xdr:to>
    <xdr:pic>
      <xdr:nvPicPr>
        <xdr:cNvPr id="343" name="Picture 343" descr="Kyrgyzstan"/>
        <xdr:cNvPicPr preferRelativeResize="1">
          <a:picLocks noChangeAspect="1"/>
        </xdr:cNvPicPr>
      </xdr:nvPicPr>
      <xdr:blipFill>
        <a:blip r:link="rId144"/>
        <a:stretch>
          <a:fillRect/>
        </a:stretch>
      </xdr:blipFill>
      <xdr:spPr>
        <a:xfrm>
          <a:off x="0" y="14258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123825</xdr:rowOff>
    </xdr:to>
    <xdr:pic>
      <xdr:nvPicPr>
        <xdr:cNvPr id="344" name="Picture 344" descr="Liberia"/>
        <xdr:cNvPicPr preferRelativeResize="1">
          <a:picLocks noChangeAspect="1"/>
        </xdr:cNvPicPr>
      </xdr:nvPicPr>
      <xdr:blipFill>
        <a:blip r:link="rId145"/>
        <a:stretch>
          <a:fillRect/>
        </a:stretch>
      </xdr:blipFill>
      <xdr:spPr>
        <a:xfrm>
          <a:off x="0" y="14420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123825</xdr:rowOff>
    </xdr:to>
    <xdr:pic>
      <xdr:nvPicPr>
        <xdr:cNvPr id="345" name="Picture 345" descr="Mauritania"/>
        <xdr:cNvPicPr preferRelativeResize="1">
          <a:picLocks noChangeAspect="1"/>
        </xdr:cNvPicPr>
      </xdr:nvPicPr>
      <xdr:blipFill>
        <a:blip r:link="rId146"/>
        <a:stretch>
          <a:fillRect/>
        </a:stretch>
      </xdr:blipFill>
      <xdr:spPr>
        <a:xfrm>
          <a:off x="0" y="14582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123825</xdr:rowOff>
    </xdr:to>
    <xdr:pic>
      <xdr:nvPicPr>
        <xdr:cNvPr id="346" name="Picture 346" descr="Luxembourg"/>
        <xdr:cNvPicPr preferRelativeResize="1">
          <a:picLocks noChangeAspect="1"/>
        </xdr:cNvPicPr>
      </xdr:nvPicPr>
      <xdr:blipFill>
        <a:blip r:link="rId147"/>
        <a:stretch>
          <a:fillRect/>
        </a:stretch>
      </xdr:blipFill>
      <xdr:spPr>
        <a:xfrm>
          <a:off x="0" y="14744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91</xdr:row>
      <xdr:rowOff>123825</xdr:rowOff>
    </xdr:to>
    <xdr:pic>
      <xdr:nvPicPr>
        <xdr:cNvPr id="347" name="Picture 347" descr="Indonesia"/>
        <xdr:cNvPicPr preferRelativeResize="1">
          <a:picLocks noChangeAspect="1"/>
        </xdr:cNvPicPr>
      </xdr:nvPicPr>
      <xdr:blipFill>
        <a:blip r:link="rId148"/>
        <a:stretch>
          <a:fillRect/>
        </a:stretch>
      </xdr:blipFill>
      <xdr:spPr>
        <a:xfrm>
          <a:off x="0" y="14906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123825</xdr:rowOff>
    </xdr:to>
    <xdr:pic>
      <xdr:nvPicPr>
        <xdr:cNvPr id="348" name="Picture 348" descr="Madagascar"/>
        <xdr:cNvPicPr preferRelativeResize="1">
          <a:picLocks noChangeAspect="1"/>
        </xdr:cNvPicPr>
      </xdr:nvPicPr>
      <xdr:blipFill>
        <a:blip r:link="rId149"/>
        <a:stretch>
          <a:fillRect/>
        </a:stretch>
      </xdr:blipFill>
      <xdr:spPr>
        <a:xfrm>
          <a:off x="0" y="15068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123825</xdr:rowOff>
    </xdr:to>
    <xdr:pic>
      <xdr:nvPicPr>
        <xdr:cNvPr id="349" name="Picture 349" descr="Guyana"/>
        <xdr:cNvPicPr preferRelativeResize="1">
          <a:picLocks noChangeAspect="1"/>
        </xdr:cNvPicPr>
      </xdr:nvPicPr>
      <xdr:blipFill>
        <a:blip r:link="rId150"/>
        <a:stretch>
          <a:fillRect/>
        </a:stretch>
      </xdr:blipFill>
      <xdr:spPr>
        <a:xfrm>
          <a:off x="0" y="15230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123825</xdr:rowOff>
    </xdr:to>
    <xdr:pic>
      <xdr:nvPicPr>
        <xdr:cNvPr id="350" name="Picture 350" descr="Antigua and Barbuda"/>
        <xdr:cNvPicPr preferRelativeResize="1">
          <a:picLocks noChangeAspect="1"/>
        </xdr:cNvPicPr>
      </xdr:nvPicPr>
      <xdr:blipFill>
        <a:blip r:link="rId151"/>
        <a:stretch>
          <a:fillRect/>
        </a:stretch>
      </xdr:blipFill>
      <xdr:spPr>
        <a:xfrm>
          <a:off x="0" y="15392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123825</xdr:rowOff>
    </xdr:to>
    <xdr:pic>
      <xdr:nvPicPr>
        <xdr:cNvPr id="351" name="Picture 351" descr="Barbados"/>
        <xdr:cNvPicPr preferRelativeResize="1">
          <a:picLocks noChangeAspect="1"/>
        </xdr:cNvPicPr>
      </xdr:nvPicPr>
      <xdr:blipFill>
        <a:blip r:link="rId152"/>
        <a:stretch>
          <a:fillRect/>
        </a:stretch>
      </xdr:blipFill>
      <xdr:spPr>
        <a:xfrm>
          <a:off x="0" y="15554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123825</xdr:rowOff>
    </xdr:to>
    <xdr:pic>
      <xdr:nvPicPr>
        <xdr:cNvPr id="352" name="Picture 352" descr="Grenada"/>
        <xdr:cNvPicPr preferRelativeResize="1">
          <a:picLocks noChangeAspect="1"/>
        </xdr:cNvPicPr>
      </xdr:nvPicPr>
      <xdr:blipFill>
        <a:blip r:link="rId153"/>
        <a:stretch>
          <a:fillRect/>
        </a:stretch>
      </xdr:blipFill>
      <xdr:spPr>
        <a:xfrm>
          <a:off x="0" y="15716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123825</xdr:rowOff>
    </xdr:to>
    <xdr:pic>
      <xdr:nvPicPr>
        <xdr:cNvPr id="353" name="Picture 353" descr="Bermuda"/>
        <xdr:cNvPicPr preferRelativeResize="1">
          <a:picLocks noChangeAspect="1"/>
        </xdr:cNvPicPr>
      </xdr:nvPicPr>
      <xdr:blipFill>
        <a:blip r:link="rId154"/>
        <a:stretch>
          <a:fillRect/>
        </a:stretch>
      </xdr:blipFill>
      <xdr:spPr>
        <a:xfrm>
          <a:off x="0" y="15878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123825</xdr:rowOff>
    </xdr:to>
    <xdr:pic>
      <xdr:nvPicPr>
        <xdr:cNvPr id="354" name="Picture 354" descr="Hong Kong"/>
        <xdr:cNvPicPr preferRelativeResize="1">
          <a:picLocks noChangeAspect="1"/>
        </xdr:cNvPicPr>
      </xdr:nvPicPr>
      <xdr:blipFill>
        <a:blip r:link="rId155"/>
        <a:stretch>
          <a:fillRect/>
        </a:stretch>
      </xdr:blipFill>
      <xdr:spPr>
        <a:xfrm>
          <a:off x="0" y="16040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123825</xdr:rowOff>
    </xdr:to>
    <xdr:pic>
      <xdr:nvPicPr>
        <xdr:cNvPr id="355" name="Picture 355" descr="Maldives"/>
        <xdr:cNvPicPr preferRelativeResize="1">
          <a:picLocks noChangeAspect="1"/>
        </xdr:cNvPicPr>
      </xdr:nvPicPr>
      <xdr:blipFill>
        <a:blip r:link="rId156"/>
        <a:stretch>
          <a:fillRect/>
        </a:stretch>
      </xdr:blipFill>
      <xdr:spPr>
        <a:xfrm>
          <a:off x="0" y="16202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123825</xdr:rowOff>
    </xdr:to>
    <xdr:pic>
      <xdr:nvPicPr>
        <xdr:cNvPr id="356" name="Picture 356" descr="New Caledonia"/>
        <xdr:cNvPicPr preferRelativeResize="1">
          <a:picLocks noChangeAspect="1"/>
        </xdr:cNvPicPr>
      </xdr:nvPicPr>
      <xdr:blipFill>
        <a:blip r:link="rId157"/>
        <a:stretch>
          <a:fillRect/>
        </a:stretch>
      </xdr:blipFill>
      <xdr:spPr>
        <a:xfrm>
          <a:off x="0" y="16363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123825</xdr:rowOff>
    </xdr:to>
    <xdr:pic>
      <xdr:nvPicPr>
        <xdr:cNvPr id="357" name="Picture 357" descr="Lesotho"/>
        <xdr:cNvPicPr preferRelativeResize="1">
          <a:picLocks noChangeAspect="1"/>
        </xdr:cNvPicPr>
      </xdr:nvPicPr>
      <xdr:blipFill>
        <a:blip r:link="rId158"/>
        <a:stretch>
          <a:fillRect/>
        </a:stretch>
      </xdr:blipFill>
      <xdr:spPr>
        <a:xfrm>
          <a:off x="0" y="16525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123825</xdr:rowOff>
    </xdr:to>
    <xdr:pic>
      <xdr:nvPicPr>
        <xdr:cNvPr id="358" name="Picture 358" descr="Niger"/>
        <xdr:cNvPicPr preferRelativeResize="1">
          <a:picLocks noChangeAspect="1"/>
        </xdr:cNvPicPr>
      </xdr:nvPicPr>
      <xdr:blipFill>
        <a:blip r:link="rId159"/>
        <a:stretch>
          <a:fillRect/>
        </a:stretch>
      </xdr:blipFill>
      <xdr:spPr>
        <a:xfrm>
          <a:off x="0" y="16687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123825</xdr:rowOff>
    </xdr:to>
    <xdr:pic>
      <xdr:nvPicPr>
        <xdr:cNvPr id="359" name="Picture 359" descr="Cambodia"/>
        <xdr:cNvPicPr preferRelativeResize="1">
          <a:picLocks noChangeAspect="1"/>
        </xdr:cNvPicPr>
      </xdr:nvPicPr>
      <xdr:blipFill>
        <a:blip r:link="rId160"/>
        <a:stretch>
          <a:fillRect/>
        </a:stretch>
      </xdr:blipFill>
      <xdr:spPr>
        <a:xfrm>
          <a:off x="0" y="16849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123825</xdr:rowOff>
    </xdr:to>
    <xdr:pic>
      <xdr:nvPicPr>
        <xdr:cNvPr id="360" name="Picture 360" descr="Mauritius"/>
        <xdr:cNvPicPr preferRelativeResize="1">
          <a:picLocks noChangeAspect="1"/>
        </xdr:cNvPicPr>
      </xdr:nvPicPr>
      <xdr:blipFill>
        <a:blip r:link="rId161"/>
        <a:stretch>
          <a:fillRect/>
        </a:stretch>
      </xdr:blipFill>
      <xdr:spPr>
        <a:xfrm>
          <a:off x="0" y="17011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123825</xdr:rowOff>
    </xdr:to>
    <xdr:pic>
      <xdr:nvPicPr>
        <xdr:cNvPr id="361" name="Picture 361" descr="Somalia"/>
        <xdr:cNvPicPr preferRelativeResize="1">
          <a:picLocks noChangeAspect="1"/>
        </xdr:cNvPicPr>
      </xdr:nvPicPr>
      <xdr:blipFill>
        <a:blip r:link="rId162"/>
        <a:stretch>
          <a:fillRect/>
        </a:stretch>
      </xdr:blipFill>
      <xdr:spPr>
        <a:xfrm>
          <a:off x="0" y="17173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106</xdr:row>
      <xdr:rowOff>123825</xdr:rowOff>
    </xdr:to>
    <xdr:pic>
      <xdr:nvPicPr>
        <xdr:cNvPr id="362" name="Picture 362" descr="Central African Republic"/>
        <xdr:cNvPicPr preferRelativeResize="1">
          <a:picLocks noChangeAspect="1"/>
        </xdr:cNvPicPr>
      </xdr:nvPicPr>
      <xdr:blipFill>
        <a:blip r:link="rId163"/>
        <a:stretch>
          <a:fillRect/>
        </a:stretch>
      </xdr:blipFill>
      <xdr:spPr>
        <a:xfrm>
          <a:off x="0" y="17335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123825</xdr:rowOff>
    </xdr:to>
    <xdr:pic>
      <xdr:nvPicPr>
        <xdr:cNvPr id="363" name="Picture 363" descr="Liechtenstein"/>
        <xdr:cNvPicPr preferRelativeResize="1">
          <a:picLocks noChangeAspect="1"/>
        </xdr:cNvPicPr>
      </xdr:nvPicPr>
      <xdr:blipFill>
        <a:blip r:link="rId164"/>
        <a:stretch>
          <a:fillRect/>
        </a:stretch>
      </xdr:blipFill>
      <xdr:spPr>
        <a:xfrm>
          <a:off x="0" y="17497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0</xdr:colOff>
      <xdr:row>108</xdr:row>
      <xdr:rowOff>123825</xdr:rowOff>
    </xdr:to>
    <xdr:pic>
      <xdr:nvPicPr>
        <xdr:cNvPr id="364" name="Picture 364" descr="Vanuatu"/>
        <xdr:cNvPicPr preferRelativeResize="1">
          <a:picLocks noChangeAspect="1"/>
        </xdr:cNvPicPr>
      </xdr:nvPicPr>
      <xdr:blipFill>
        <a:blip r:link="rId165"/>
        <a:stretch>
          <a:fillRect/>
        </a:stretch>
      </xdr:blipFill>
      <xdr:spPr>
        <a:xfrm>
          <a:off x="0" y="17659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123825</xdr:rowOff>
    </xdr:to>
    <xdr:pic>
      <xdr:nvPicPr>
        <xdr:cNvPr id="365" name="Picture 365" descr="St. Kitts and Nevis"/>
        <xdr:cNvPicPr preferRelativeResize="1">
          <a:picLocks noChangeAspect="1"/>
        </xdr:cNvPicPr>
      </xdr:nvPicPr>
      <xdr:blipFill>
        <a:blip r:link="rId166"/>
        <a:stretch>
          <a:fillRect/>
        </a:stretch>
      </xdr:blipFill>
      <xdr:spPr>
        <a:xfrm>
          <a:off x="0" y="17821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0</xdr:colOff>
      <xdr:row>110</xdr:row>
      <xdr:rowOff>123825</xdr:rowOff>
    </xdr:to>
    <xdr:pic>
      <xdr:nvPicPr>
        <xdr:cNvPr id="366" name="Picture 366" descr="Malaysia"/>
        <xdr:cNvPicPr preferRelativeResize="1">
          <a:picLocks noChangeAspect="1"/>
        </xdr:cNvPicPr>
      </xdr:nvPicPr>
      <xdr:blipFill>
        <a:blip r:link="rId167"/>
        <a:stretch>
          <a:fillRect/>
        </a:stretch>
      </xdr:blipFill>
      <xdr:spPr>
        <a:xfrm>
          <a:off x="0" y="17983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111</xdr:row>
      <xdr:rowOff>123825</xdr:rowOff>
    </xdr:to>
    <xdr:pic>
      <xdr:nvPicPr>
        <xdr:cNvPr id="367" name="Picture 367" descr="Nicaragua"/>
        <xdr:cNvPicPr preferRelativeResize="1">
          <a:picLocks noChangeAspect="1"/>
        </xdr:cNvPicPr>
      </xdr:nvPicPr>
      <xdr:blipFill>
        <a:blip r:link="rId168"/>
        <a:stretch>
          <a:fillRect/>
        </a:stretch>
      </xdr:blipFill>
      <xdr:spPr>
        <a:xfrm>
          <a:off x="0" y="18145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123825</xdr:rowOff>
    </xdr:to>
    <xdr:pic>
      <xdr:nvPicPr>
        <xdr:cNvPr id="368" name="Picture 368" descr="Puerto Rico"/>
        <xdr:cNvPicPr preferRelativeResize="1">
          <a:picLocks noChangeAspect="1"/>
        </xdr:cNvPicPr>
      </xdr:nvPicPr>
      <xdr:blipFill>
        <a:blip r:link="rId169"/>
        <a:stretch>
          <a:fillRect/>
        </a:stretch>
      </xdr:blipFill>
      <xdr:spPr>
        <a:xfrm>
          <a:off x="0" y="18307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123825</xdr:rowOff>
    </xdr:to>
    <xdr:pic>
      <xdr:nvPicPr>
        <xdr:cNvPr id="369" name="Picture 369" descr="Philippines"/>
        <xdr:cNvPicPr preferRelativeResize="1">
          <a:picLocks noChangeAspect="1"/>
        </xdr:cNvPicPr>
      </xdr:nvPicPr>
      <xdr:blipFill>
        <a:blip r:link="rId170"/>
        <a:stretch>
          <a:fillRect/>
        </a:stretch>
      </xdr:blipFill>
      <xdr:spPr>
        <a:xfrm>
          <a:off x="0" y="18468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123825</xdr:rowOff>
    </xdr:to>
    <xdr:pic>
      <xdr:nvPicPr>
        <xdr:cNvPr id="370" name="Picture 370" descr="St. Vincent and the Grenadines"/>
        <xdr:cNvPicPr preferRelativeResize="1">
          <a:picLocks noChangeAspect="1"/>
        </xdr:cNvPicPr>
      </xdr:nvPicPr>
      <xdr:blipFill>
        <a:blip r:link="rId171"/>
        <a:stretch>
          <a:fillRect/>
        </a:stretch>
      </xdr:blipFill>
      <xdr:spPr>
        <a:xfrm>
          <a:off x="0" y="18630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115</xdr:row>
      <xdr:rowOff>123825</xdr:rowOff>
    </xdr:to>
    <xdr:pic>
      <xdr:nvPicPr>
        <xdr:cNvPr id="371" name="Picture 371" descr="Netherlands Antilles"/>
        <xdr:cNvPicPr preferRelativeResize="1">
          <a:picLocks noChangeAspect="1"/>
        </xdr:cNvPicPr>
      </xdr:nvPicPr>
      <xdr:blipFill>
        <a:blip r:link="rId172"/>
        <a:stretch>
          <a:fillRect/>
        </a:stretch>
      </xdr:blipFill>
      <xdr:spPr>
        <a:xfrm>
          <a:off x="0" y="18792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116</xdr:row>
      <xdr:rowOff>123825</xdr:rowOff>
    </xdr:to>
    <xdr:pic>
      <xdr:nvPicPr>
        <xdr:cNvPr id="372" name="Picture 372" descr="Solomon Islands"/>
        <xdr:cNvPicPr preferRelativeResize="1">
          <a:picLocks noChangeAspect="1"/>
        </xdr:cNvPicPr>
      </xdr:nvPicPr>
      <xdr:blipFill>
        <a:blip r:link="rId173"/>
        <a:stretch>
          <a:fillRect/>
        </a:stretch>
      </xdr:blipFill>
      <xdr:spPr>
        <a:xfrm>
          <a:off x="0" y="18954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0</xdr:colOff>
      <xdr:row>117</xdr:row>
      <xdr:rowOff>123825</xdr:rowOff>
    </xdr:to>
    <xdr:pic>
      <xdr:nvPicPr>
        <xdr:cNvPr id="373" name="Picture 373" descr="Palestine"/>
        <xdr:cNvPicPr preferRelativeResize="1">
          <a:picLocks noChangeAspect="1"/>
        </xdr:cNvPicPr>
      </xdr:nvPicPr>
      <xdr:blipFill>
        <a:blip r:link="rId174"/>
        <a:stretch>
          <a:fillRect/>
        </a:stretch>
      </xdr:blipFill>
      <xdr:spPr>
        <a:xfrm>
          <a:off x="0" y="19116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118</xdr:row>
      <xdr:rowOff>123825</xdr:rowOff>
    </xdr:to>
    <xdr:pic>
      <xdr:nvPicPr>
        <xdr:cNvPr id="374" name="Picture 374" descr="Turks and Caicos Islands"/>
        <xdr:cNvPicPr preferRelativeResize="1">
          <a:picLocks noChangeAspect="1"/>
        </xdr:cNvPicPr>
      </xdr:nvPicPr>
      <xdr:blipFill>
        <a:blip r:link="rId175"/>
        <a:stretch>
          <a:fillRect/>
        </a:stretch>
      </xdr:blipFill>
      <xdr:spPr>
        <a:xfrm>
          <a:off x="0" y="19278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0</xdr:colOff>
      <xdr:row>119</xdr:row>
      <xdr:rowOff>123825</xdr:rowOff>
    </xdr:to>
    <xdr:pic>
      <xdr:nvPicPr>
        <xdr:cNvPr id="375" name="Picture 375" descr="Seychelles"/>
        <xdr:cNvPicPr preferRelativeResize="1">
          <a:picLocks noChangeAspect="1"/>
        </xdr:cNvPicPr>
      </xdr:nvPicPr>
      <xdr:blipFill>
        <a:blip r:link="rId176"/>
        <a:stretch>
          <a:fillRect/>
        </a:stretch>
      </xdr:blipFill>
      <xdr:spPr>
        <a:xfrm>
          <a:off x="0" y="19440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123825</xdr:rowOff>
    </xdr:to>
    <xdr:pic>
      <xdr:nvPicPr>
        <xdr:cNvPr id="376" name="Picture 376" descr="Comoros"/>
        <xdr:cNvPicPr preferRelativeResize="1">
          <a:picLocks noChangeAspect="1"/>
        </xdr:cNvPicPr>
      </xdr:nvPicPr>
      <xdr:blipFill>
        <a:blip r:link="rId177"/>
        <a:stretch>
          <a:fillRect/>
        </a:stretch>
      </xdr:blipFill>
      <xdr:spPr>
        <a:xfrm>
          <a:off x="0" y="19602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121</xdr:row>
      <xdr:rowOff>123825</xdr:rowOff>
    </xdr:to>
    <xdr:pic>
      <xdr:nvPicPr>
        <xdr:cNvPr id="377" name="Picture 377" descr="Bahamas"/>
        <xdr:cNvPicPr preferRelativeResize="1">
          <a:picLocks noChangeAspect="1"/>
        </xdr:cNvPicPr>
      </xdr:nvPicPr>
      <xdr:blipFill>
        <a:blip r:link="rId178"/>
        <a:stretch>
          <a:fillRect/>
        </a:stretch>
      </xdr:blipFill>
      <xdr:spPr>
        <a:xfrm>
          <a:off x="0" y="19764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122</xdr:row>
      <xdr:rowOff>123825</xdr:rowOff>
    </xdr:to>
    <xdr:pic>
      <xdr:nvPicPr>
        <xdr:cNvPr id="378" name="Picture 378" descr="Cayman Islands"/>
        <xdr:cNvPicPr preferRelativeResize="1">
          <a:picLocks noChangeAspect="1"/>
        </xdr:cNvPicPr>
      </xdr:nvPicPr>
      <xdr:blipFill>
        <a:blip r:link="rId179"/>
        <a:stretch>
          <a:fillRect/>
        </a:stretch>
      </xdr:blipFill>
      <xdr:spPr>
        <a:xfrm>
          <a:off x="0" y="19926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0</xdr:colOff>
      <xdr:row>123</xdr:row>
      <xdr:rowOff>123825</xdr:rowOff>
    </xdr:to>
    <xdr:pic>
      <xdr:nvPicPr>
        <xdr:cNvPr id="379" name="Picture 379" descr="Dominica"/>
        <xdr:cNvPicPr preferRelativeResize="1">
          <a:picLocks noChangeAspect="1"/>
        </xdr:cNvPicPr>
      </xdr:nvPicPr>
      <xdr:blipFill>
        <a:blip r:link="rId180"/>
        <a:stretch>
          <a:fillRect/>
        </a:stretch>
      </xdr:blipFill>
      <xdr:spPr>
        <a:xfrm>
          <a:off x="0" y="20088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123825</xdr:rowOff>
    </xdr:to>
    <xdr:pic>
      <xdr:nvPicPr>
        <xdr:cNvPr id="380" name="Picture 380" descr="Andorra"/>
        <xdr:cNvPicPr preferRelativeResize="1">
          <a:picLocks noChangeAspect="1"/>
        </xdr:cNvPicPr>
      </xdr:nvPicPr>
      <xdr:blipFill>
        <a:blip r:link="rId181"/>
        <a:stretch>
          <a:fillRect/>
        </a:stretch>
      </xdr:blipFill>
      <xdr:spPr>
        <a:xfrm>
          <a:off x="0" y="20250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125</xdr:row>
      <xdr:rowOff>123825</xdr:rowOff>
    </xdr:to>
    <xdr:pic>
      <xdr:nvPicPr>
        <xdr:cNvPr id="381" name="Picture 381" descr="Samoa"/>
        <xdr:cNvPicPr preferRelativeResize="1">
          <a:picLocks noChangeAspect="1"/>
        </xdr:cNvPicPr>
      </xdr:nvPicPr>
      <xdr:blipFill>
        <a:blip r:link="rId182"/>
        <a:stretch>
          <a:fillRect/>
        </a:stretch>
      </xdr:blipFill>
      <xdr:spPr>
        <a:xfrm>
          <a:off x="0" y="20412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0</xdr:colOff>
      <xdr:row>126</xdr:row>
      <xdr:rowOff>123825</xdr:rowOff>
    </xdr:to>
    <xdr:pic>
      <xdr:nvPicPr>
        <xdr:cNvPr id="382" name="Picture 382" descr="Guam"/>
        <xdr:cNvPicPr preferRelativeResize="1">
          <a:picLocks noChangeAspect="1"/>
        </xdr:cNvPicPr>
      </xdr:nvPicPr>
      <xdr:blipFill>
        <a:blip r:link="rId183"/>
        <a:stretch>
          <a:fillRect/>
        </a:stretch>
      </xdr:blipFill>
      <xdr:spPr>
        <a:xfrm>
          <a:off x="0" y="20574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127</xdr:row>
      <xdr:rowOff>123825</xdr:rowOff>
    </xdr:to>
    <xdr:pic>
      <xdr:nvPicPr>
        <xdr:cNvPr id="383" name="Picture 383" descr="Cook Islands"/>
        <xdr:cNvPicPr preferRelativeResize="1">
          <a:picLocks noChangeAspect="1"/>
        </xdr:cNvPicPr>
      </xdr:nvPicPr>
      <xdr:blipFill>
        <a:blip r:link="rId184"/>
        <a:stretch>
          <a:fillRect/>
        </a:stretch>
      </xdr:blipFill>
      <xdr:spPr>
        <a:xfrm>
          <a:off x="0" y="20735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123825</xdr:rowOff>
    </xdr:to>
    <xdr:pic>
      <xdr:nvPicPr>
        <xdr:cNvPr id="384" name="Picture 384" descr="Belize"/>
        <xdr:cNvPicPr preferRelativeResize="1">
          <a:picLocks noChangeAspect="1"/>
        </xdr:cNvPicPr>
      </xdr:nvPicPr>
      <xdr:blipFill>
        <a:blip r:link="rId185"/>
        <a:stretch>
          <a:fillRect/>
        </a:stretch>
      </xdr:blipFill>
      <xdr:spPr>
        <a:xfrm>
          <a:off x="0" y="20897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0</xdr:colOff>
      <xdr:row>129</xdr:row>
      <xdr:rowOff>123825</xdr:rowOff>
    </xdr:to>
    <xdr:pic>
      <xdr:nvPicPr>
        <xdr:cNvPr id="385" name="Picture 385" descr="St. Lucia"/>
        <xdr:cNvPicPr preferRelativeResize="1">
          <a:picLocks noChangeAspect="1"/>
        </xdr:cNvPicPr>
      </xdr:nvPicPr>
      <xdr:blipFill>
        <a:blip r:link="rId186"/>
        <a:stretch>
          <a:fillRect/>
        </a:stretch>
      </xdr:blipFill>
      <xdr:spPr>
        <a:xfrm>
          <a:off x="0" y="21059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130</xdr:row>
      <xdr:rowOff>123825</xdr:rowOff>
    </xdr:to>
    <xdr:pic>
      <xdr:nvPicPr>
        <xdr:cNvPr id="386" name="Picture 386" descr="Macau"/>
        <xdr:cNvPicPr preferRelativeResize="1">
          <a:picLocks noChangeAspect="1"/>
        </xdr:cNvPicPr>
      </xdr:nvPicPr>
      <xdr:blipFill>
        <a:blip r:link="rId187"/>
        <a:stretch>
          <a:fillRect/>
        </a:stretch>
      </xdr:blipFill>
      <xdr:spPr>
        <a:xfrm>
          <a:off x="0" y="21221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123825</xdr:rowOff>
    </xdr:to>
    <xdr:pic>
      <xdr:nvPicPr>
        <xdr:cNvPr id="387" name="Picture 387" descr="Tonga"/>
        <xdr:cNvPicPr preferRelativeResize="1">
          <a:picLocks noChangeAspect="1"/>
        </xdr:cNvPicPr>
      </xdr:nvPicPr>
      <xdr:blipFill>
        <a:blip r:link="rId188"/>
        <a:stretch>
          <a:fillRect/>
        </a:stretch>
      </xdr:blipFill>
      <xdr:spPr>
        <a:xfrm>
          <a:off x="0" y="21383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123825</xdr:rowOff>
    </xdr:to>
    <xdr:pic>
      <xdr:nvPicPr>
        <xdr:cNvPr id="388" name="Picture 388" descr="Dominican Republic"/>
        <xdr:cNvPicPr preferRelativeResize="1">
          <a:picLocks noChangeAspect="1"/>
        </xdr:cNvPicPr>
      </xdr:nvPicPr>
      <xdr:blipFill>
        <a:blip r:link="rId189"/>
        <a:stretch>
          <a:fillRect/>
        </a:stretch>
      </xdr:blipFill>
      <xdr:spPr>
        <a:xfrm>
          <a:off x="0" y="21545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133</xdr:row>
      <xdr:rowOff>123825</xdr:rowOff>
    </xdr:to>
    <xdr:pic>
      <xdr:nvPicPr>
        <xdr:cNvPr id="389" name="Picture 389" descr="Brunei Darussalam"/>
        <xdr:cNvPicPr preferRelativeResize="1">
          <a:picLocks noChangeAspect="1"/>
        </xdr:cNvPicPr>
      </xdr:nvPicPr>
      <xdr:blipFill>
        <a:blip r:link="rId190"/>
        <a:stretch>
          <a:fillRect/>
        </a:stretch>
      </xdr:blipFill>
      <xdr:spPr>
        <a:xfrm>
          <a:off x="0" y="21707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134</xdr:row>
      <xdr:rowOff>123825</xdr:rowOff>
    </xdr:to>
    <xdr:pic>
      <xdr:nvPicPr>
        <xdr:cNvPr id="390" name="Picture 390" descr="British Virgin Islands"/>
        <xdr:cNvPicPr preferRelativeResize="1">
          <a:picLocks noChangeAspect="1"/>
        </xdr:cNvPicPr>
      </xdr:nvPicPr>
      <xdr:blipFill>
        <a:blip r:link="rId191"/>
        <a:stretch>
          <a:fillRect/>
        </a:stretch>
      </xdr:blipFill>
      <xdr:spPr>
        <a:xfrm>
          <a:off x="0" y="21869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0</xdr:colOff>
      <xdr:row>135</xdr:row>
      <xdr:rowOff>123825</xdr:rowOff>
    </xdr:to>
    <xdr:pic>
      <xdr:nvPicPr>
        <xdr:cNvPr id="391" name="Picture 391" descr="Djibouti"/>
        <xdr:cNvPicPr preferRelativeResize="1">
          <a:picLocks noChangeAspect="1"/>
        </xdr:cNvPicPr>
      </xdr:nvPicPr>
      <xdr:blipFill>
        <a:blip r:link="rId192"/>
        <a:stretch>
          <a:fillRect/>
        </a:stretch>
      </xdr:blipFill>
      <xdr:spPr>
        <a:xfrm>
          <a:off x="0" y="22031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136</xdr:row>
      <xdr:rowOff>123825</xdr:rowOff>
    </xdr:to>
    <xdr:pic>
      <xdr:nvPicPr>
        <xdr:cNvPr id="392" name="Picture 392" descr="Afghanistan"/>
        <xdr:cNvPicPr preferRelativeResize="1">
          <a:picLocks noChangeAspect="1"/>
        </xdr:cNvPicPr>
      </xdr:nvPicPr>
      <xdr:blipFill>
        <a:blip r:link="rId193"/>
        <a:stretch>
          <a:fillRect/>
        </a:stretch>
      </xdr:blipFill>
      <xdr:spPr>
        <a:xfrm>
          <a:off x="0" y="22193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137</xdr:row>
      <xdr:rowOff>123825</xdr:rowOff>
    </xdr:to>
    <xdr:pic>
      <xdr:nvPicPr>
        <xdr:cNvPr id="393" name="Picture 393" descr="Tahiti"/>
        <xdr:cNvPicPr preferRelativeResize="1">
          <a:picLocks noChangeAspect="1"/>
        </xdr:cNvPicPr>
      </xdr:nvPicPr>
      <xdr:blipFill>
        <a:blip r:link="rId194"/>
        <a:stretch>
          <a:fillRect/>
        </a:stretch>
      </xdr:blipFill>
      <xdr:spPr>
        <a:xfrm>
          <a:off x="0" y="22355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0</xdr:colOff>
      <xdr:row>138</xdr:row>
      <xdr:rowOff>123825</xdr:rowOff>
    </xdr:to>
    <xdr:pic>
      <xdr:nvPicPr>
        <xdr:cNvPr id="394" name="Picture 394" descr="Bhutan"/>
        <xdr:cNvPicPr preferRelativeResize="1">
          <a:picLocks noChangeAspect="1"/>
        </xdr:cNvPicPr>
      </xdr:nvPicPr>
      <xdr:blipFill>
        <a:blip r:link="rId195"/>
        <a:stretch>
          <a:fillRect/>
        </a:stretch>
      </xdr:blipFill>
      <xdr:spPr>
        <a:xfrm>
          <a:off x="0" y="2251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139</xdr:row>
      <xdr:rowOff>123825</xdr:rowOff>
    </xdr:to>
    <xdr:pic>
      <xdr:nvPicPr>
        <xdr:cNvPr id="395" name="Picture 395" descr="Aruba"/>
        <xdr:cNvPicPr preferRelativeResize="1">
          <a:picLocks noChangeAspect="1"/>
        </xdr:cNvPicPr>
      </xdr:nvPicPr>
      <xdr:blipFill>
        <a:blip r:link="rId196"/>
        <a:stretch>
          <a:fillRect/>
        </a:stretch>
      </xdr:blipFill>
      <xdr:spPr>
        <a:xfrm>
          <a:off x="0" y="22679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142</xdr:row>
      <xdr:rowOff>123825</xdr:rowOff>
    </xdr:to>
    <xdr:pic>
      <xdr:nvPicPr>
        <xdr:cNvPr id="396" name="Picture 396" descr="San Marino"/>
        <xdr:cNvPicPr preferRelativeResize="1">
          <a:picLocks noChangeAspect="1"/>
        </xdr:cNvPicPr>
      </xdr:nvPicPr>
      <xdr:blipFill>
        <a:blip r:link="rId197"/>
        <a:stretch>
          <a:fillRect/>
        </a:stretch>
      </xdr:blipFill>
      <xdr:spPr>
        <a:xfrm>
          <a:off x="0" y="23164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0</xdr:colOff>
      <xdr:row>140</xdr:row>
      <xdr:rowOff>123825</xdr:rowOff>
    </xdr:to>
    <xdr:pic>
      <xdr:nvPicPr>
        <xdr:cNvPr id="397" name="Picture 397" descr="US Virgin Islands"/>
        <xdr:cNvPicPr preferRelativeResize="1">
          <a:picLocks noChangeAspect="1"/>
        </xdr:cNvPicPr>
      </xdr:nvPicPr>
      <xdr:blipFill>
        <a:blip r:link="rId198"/>
        <a:stretch>
          <a:fillRect/>
        </a:stretch>
      </xdr:blipFill>
      <xdr:spPr>
        <a:xfrm>
          <a:off x="0" y="22840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123825</xdr:rowOff>
    </xdr:to>
    <xdr:pic>
      <xdr:nvPicPr>
        <xdr:cNvPr id="398" name="Picture 398" descr="Timor-Leste"/>
        <xdr:cNvPicPr preferRelativeResize="1">
          <a:picLocks noChangeAspect="1"/>
        </xdr:cNvPicPr>
      </xdr:nvPicPr>
      <xdr:blipFill>
        <a:blip r:link="rId199"/>
        <a:stretch>
          <a:fillRect/>
        </a:stretch>
      </xdr:blipFill>
      <xdr:spPr>
        <a:xfrm>
          <a:off x="0" y="23002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1</xdr:row>
      <xdr:rowOff>133350</xdr:rowOff>
    </xdr:to>
    <xdr:pic>
      <xdr:nvPicPr>
        <xdr:cNvPr id="399" name="Picture 399" descr="Camero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71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2</xdr:row>
      <xdr:rowOff>142875</xdr:rowOff>
    </xdr:to>
    <xdr:pic>
      <xdr:nvPicPr>
        <xdr:cNvPr id="400" name="Picture 400" descr="Niger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514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123825</xdr:rowOff>
    </xdr:to>
    <xdr:pic>
      <xdr:nvPicPr>
        <xdr:cNvPr id="401" name="Picture 401" descr="Spai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819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123825</xdr:rowOff>
    </xdr:to>
    <xdr:pic>
      <xdr:nvPicPr>
        <xdr:cNvPr id="402" name="Picture 402" descr="Brazil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143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123825</xdr:rowOff>
    </xdr:to>
    <xdr:pic>
      <xdr:nvPicPr>
        <xdr:cNvPr id="403" name="Picture 403" descr="Argentina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981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123825</xdr:rowOff>
    </xdr:to>
    <xdr:pic>
      <xdr:nvPicPr>
        <xdr:cNvPr id="404" name="Picture 404" descr="Ethiopia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304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pic>
      <xdr:nvPicPr>
        <xdr:cNvPr id="405" name="Picture 405" descr="Zambia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1628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pic>
      <xdr:nvPicPr>
        <xdr:cNvPr id="406" name="Picture 406" descr="Ghana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466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123825</xdr:rowOff>
    </xdr:to>
    <xdr:pic>
      <xdr:nvPicPr>
        <xdr:cNvPr id="407" name="Picture 407" descr="Poland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2762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123825</xdr:rowOff>
    </xdr:to>
    <xdr:pic>
      <xdr:nvPicPr>
        <xdr:cNvPr id="408" name="Picture 408" descr="Uruguay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1952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123825</xdr:rowOff>
    </xdr:to>
    <xdr:pic>
      <xdr:nvPicPr>
        <xdr:cNvPr id="409" name="Picture 409" descr="Egypt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1790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123825</xdr:rowOff>
    </xdr:to>
    <xdr:pic>
      <xdr:nvPicPr>
        <xdr:cNvPr id="410" name="Picture 410" descr="Ecuador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3895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123825</xdr:rowOff>
    </xdr:to>
    <xdr:pic>
      <xdr:nvPicPr>
        <xdr:cNvPr id="411" name="Picture 411" descr="Italy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2114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123825</xdr:rowOff>
    </xdr:to>
    <xdr:pic>
      <xdr:nvPicPr>
        <xdr:cNvPr id="412" name="Picture 412" descr="Saudi Arabia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2276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123825</xdr:rowOff>
    </xdr:to>
    <xdr:pic>
      <xdr:nvPicPr>
        <xdr:cNvPr id="413" name="Picture 413" descr="Czech Republic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3409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123825</xdr:rowOff>
    </xdr:to>
    <xdr:pic>
      <xdr:nvPicPr>
        <xdr:cNvPr id="414" name="Picture 414" descr="Germany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4705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123825</xdr:rowOff>
    </xdr:to>
    <xdr:pic>
      <xdr:nvPicPr>
        <xdr:cNvPr id="415" name="Picture 415" descr="Algeria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4381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123825</xdr:rowOff>
    </xdr:to>
    <xdr:pic>
      <xdr:nvPicPr>
        <xdr:cNvPr id="416" name="Picture 416" descr="USA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3086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123825</xdr:rowOff>
    </xdr:to>
    <xdr:pic>
      <xdr:nvPicPr>
        <xdr:cNvPr id="417" name="Picture 417" descr="Australia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2438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123825</xdr:rowOff>
    </xdr:to>
    <xdr:pic>
      <xdr:nvPicPr>
        <xdr:cNvPr id="418" name="Picture 418" descr="Kenya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3571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123825</xdr:rowOff>
    </xdr:to>
    <xdr:pic>
      <xdr:nvPicPr>
        <xdr:cNvPr id="419" name="Picture 419" descr="Senegal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4219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123825</xdr:rowOff>
    </xdr:to>
    <xdr:pic>
      <xdr:nvPicPr>
        <xdr:cNvPr id="420" name="Picture 420" descr="Côte d'Ivoire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454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123825</xdr:rowOff>
    </xdr:to>
    <xdr:pic>
      <xdr:nvPicPr>
        <xdr:cNvPr id="421" name="Picture 421" descr="Colombia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5191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0</xdr:colOff>
      <xdr:row>3</xdr:row>
      <xdr:rowOff>133350</xdr:rowOff>
    </xdr:to>
    <xdr:pic>
      <xdr:nvPicPr>
        <xdr:cNvPr id="422" name="Picture 422" descr="Ukraine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666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123825</xdr:rowOff>
    </xdr:to>
    <xdr:pic>
      <xdr:nvPicPr>
        <xdr:cNvPr id="423" name="Picture 423" descr="Tunisia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5353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123825</xdr:rowOff>
    </xdr:to>
    <xdr:pic>
      <xdr:nvPicPr>
        <xdr:cNvPr id="424" name="Picture 424" descr="Morocco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502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123825</xdr:rowOff>
    </xdr:to>
    <xdr:pic>
      <xdr:nvPicPr>
        <xdr:cNvPr id="425" name="Picture 425" descr="China PR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5514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123825</xdr:rowOff>
    </xdr:to>
    <xdr:pic>
      <xdr:nvPicPr>
        <xdr:cNvPr id="426" name="Picture 426" descr="France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4867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123825</xdr:rowOff>
    </xdr:to>
    <xdr:pic>
      <xdr:nvPicPr>
        <xdr:cNvPr id="427" name="Picture 427" descr="Angola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5676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123825</xdr:rowOff>
    </xdr:to>
    <xdr:pic>
      <xdr:nvPicPr>
        <xdr:cNvPr id="428" name="Picture 428" descr="Russia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5838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123825</xdr:rowOff>
    </xdr:to>
    <xdr:pic>
      <xdr:nvPicPr>
        <xdr:cNvPr id="429" name="Picture 429" descr="Chile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3733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123825</xdr:rowOff>
    </xdr:to>
    <xdr:pic>
      <xdr:nvPicPr>
        <xdr:cNvPr id="430" name="Picture 430" descr="Slovakia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6000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123825</xdr:rowOff>
    </xdr:to>
    <xdr:pic>
      <xdr:nvPicPr>
        <xdr:cNvPr id="431" name="Picture 431" descr="Japan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6648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123825</xdr:rowOff>
    </xdr:to>
    <xdr:pic>
      <xdr:nvPicPr>
        <xdr:cNvPr id="432" name="Picture 432" descr="Gabon"/>
        <xdr:cNvPicPr preferRelativeResize="1">
          <a:picLocks noChangeAspect="1"/>
        </xdr:cNvPicPr>
      </xdr:nvPicPr>
      <xdr:blipFill>
        <a:blip r:link="rId34"/>
        <a:stretch>
          <a:fillRect/>
        </a:stretch>
      </xdr:blipFill>
      <xdr:spPr>
        <a:xfrm>
          <a:off x="0" y="6810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123825</xdr:rowOff>
    </xdr:to>
    <xdr:pic>
      <xdr:nvPicPr>
        <xdr:cNvPr id="433" name="Picture 433" descr="Costa Rica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7296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123825</xdr:rowOff>
    </xdr:to>
    <xdr:pic>
      <xdr:nvPicPr>
        <xdr:cNvPr id="434" name="Picture 434" descr="Lithuania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7458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123825</xdr:rowOff>
    </xdr:to>
    <xdr:pic>
      <xdr:nvPicPr>
        <xdr:cNvPr id="435" name="Picture 435" descr="Paraguay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7781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123825</xdr:rowOff>
    </xdr:to>
    <xdr:pic>
      <xdr:nvPicPr>
        <xdr:cNvPr id="436" name="Picture 436" descr="Mexico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405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123825</xdr:rowOff>
    </xdr:to>
    <xdr:pic>
      <xdr:nvPicPr>
        <xdr:cNvPr id="437" name="Picture 437" descr="Romania"/>
        <xdr:cNvPicPr preferRelativeResize="1">
          <a:picLocks noChangeAspect="1"/>
        </xdr:cNvPicPr>
      </xdr:nvPicPr>
      <xdr:blipFill>
        <a:blip r:link="rId39"/>
        <a:stretch>
          <a:fillRect/>
        </a:stretch>
      </xdr:blipFill>
      <xdr:spPr>
        <a:xfrm>
          <a:off x="0" y="6162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123825</xdr:rowOff>
    </xdr:to>
    <xdr:pic>
      <xdr:nvPicPr>
        <xdr:cNvPr id="438" name="Picture 438" descr="Venezuela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8105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123825</xdr:rowOff>
    </xdr:to>
    <xdr:pic>
      <xdr:nvPicPr>
        <xdr:cNvPr id="439" name="Picture 439" descr="Honduras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8267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123825</xdr:rowOff>
    </xdr:to>
    <xdr:pic>
      <xdr:nvPicPr>
        <xdr:cNvPr id="440" name="Picture 440" descr="Montenegro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6486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41" name="Picture 441" descr="Korea Republic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42" name="Picture 442" descr="Burkina Faso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43" name="Picture 443" descr="Latvia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44" name="Picture 444" descr="Belarus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123825</xdr:rowOff>
    </xdr:to>
    <xdr:pic>
      <xdr:nvPicPr>
        <xdr:cNvPr id="445" name="Picture 445" descr="Norway"/>
        <xdr:cNvPicPr preferRelativeResize="1">
          <a:picLocks noChangeAspect="1"/>
        </xdr:cNvPicPr>
      </xdr:nvPicPr>
      <xdr:blipFill>
        <a:blip r:link="rId47"/>
        <a:stretch>
          <a:fillRect/>
        </a:stretch>
      </xdr:blipFill>
      <xdr:spPr>
        <a:xfrm>
          <a:off x="0" y="8591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46" name="Picture 446" descr="Estonia"/>
        <xdr:cNvPicPr preferRelativeResize="1">
          <a:picLocks noChangeAspect="1"/>
        </xdr:cNvPicPr>
      </xdr:nvPicPr>
      <xdr:blipFill>
        <a:blip r:link="rId4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123825</xdr:rowOff>
    </xdr:to>
    <xdr:pic>
      <xdr:nvPicPr>
        <xdr:cNvPr id="447" name="Picture 447" descr="Netherlands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2600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123825</xdr:rowOff>
    </xdr:to>
    <xdr:pic>
      <xdr:nvPicPr>
        <xdr:cNvPr id="448" name="Picture 448" descr="England"/>
        <xdr:cNvPicPr preferRelativeResize="1">
          <a:picLocks noChangeAspect="1"/>
        </xdr:cNvPicPr>
      </xdr:nvPicPr>
      <xdr:blipFill>
        <a:blip r:link="rId50"/>
        <a:stretch>
          <a:fillRect/>
        </a:stretch>
      </xdr:blipFill>
      <xdr:spPr>
        <a:xfrm>
          <a:off x="0" y="8429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123825</xdr:rowOff>
    </xdr:to>
    <xdr:pic>
      <xdr:nvPicPr>
        <xdr:cNvPr id="449" name="Picture 449" descr="Serbia"/>
        <xdr:cNvPicPr preferRelativeResize="1">
          <a:picLocks noChangeAspect="1"/>
        </xdr:cNvPicPr>
      </xdr:nvPicPr>
      <xdr:blipFill>
        <a:blip r:link="rId51"/>
        <a:stretch>
          <a:fillRect/>
        </a:stretch>
      </xdr:blipFill>
      <xdr:spPr>
        <a:xfrm>
          <a:off x="0" y="7134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123825</xdr:rowOff>
    </xdr:to>
    <xdr:pic>
      <xdr:nvPicPr>
        <xdr:cNvPr id="450" name="Picture 450" descr="Hungary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7943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51" name="Picture 451" descr="Mozambique"/>
        <xdr:cNvPicPr preferRelativeResize="1">
          <a:picLocks noChangeAspect="1"/>
        </xdr:cNvPicPr>
      </xdr:nvPicPr>
      <xdr:blipFill>
        <a:blip r:link="rId5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52" name="Picture 452" descr="South Africa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123825</xdr:rowOff>
    </xdr:to>
    <xdr:pic>
      <xdr:nvPicPr>
        <xdr:cNvPr id="453" name="Picture 453" descr="Jamaica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6324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123825</xdr:rowOff>
    </xdr:to>
    <xdr:pic>
      <xdr:nvPicPr>
        <xdr:cNvPr id="454" name="Picture 454" descr="New Zealand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7620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55" name="Picture 455" descr="FYR Macedonia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56" name="Picture 456" descr="Greece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123825</xdr:rowOff>
    </xdr:to>
    <xdr:pic>
      <xdr:nvPicPr>
        <xdr:cNvPr id="457" name="Picture 457" descr="Portugal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2924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58" name="Picture 458" descr="Mali"/>
        <xdr:cNvPicPr preferRelativeResize="1">
          <a:picLocks noChangeAspect="1"/>
        </xdr:cNvPicPr>
      </xdr:nvPicPr>
      <xdr:blipFill>
        <a:blip r:link="rId6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59" name="Picture 459" descr="Bosnia-Herzegovina"/>
        <xdr:cNvPicPr preferRelativeResize="1">
          <a:picLocks noChangeAspect="1"/>
        </xdr:cNvPicPr>
      </xdr:nvPicPr>
      <xdr:blipFill>
        <a:blip r:link="rId6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123825</xdr:rowOff>
    </xdr:to>
    <xdr:pic>
      <xdr:nvPicPr>
        <xdr:cNvPr id="460" name="Picture 460" descr="Turkey"/>
        <xdr:cNvPicPr preferRelativeResize="1">
          <a:picLocks noChangeAspect="1"/>
        </xdr:cNvPicPr>
      </xdr:nvPicPr>
      <xdr:blipFill>
        <a:blip r:link="rId62"/>
        <a:stretch>
          <a:fillRect/>
        </a:stretch>
      </xdr:blipFill>
      <xdr:spPr>
        <a:xfrm>
          <a:off x="0" y="3248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1" name="Picture 461" descr="Iran"/>
        <xdr:cNvPicPr preferRelativeResize="1">
          <a:picLocks noChangeAspect="1"/>
        </xdr:cNvPicPr>
      </xdr:nvPicPr>
      <xdr:blipFill>
        <a:blip r:link="rId6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2" name="Picture 462" descr="Peru"/>
        <xdr:cNvPicPr preferRelativeResize="1">
          <a:picLocks noChangeAspect="1"/>
        </xdr:cNvPicPr>
      </xdr:nvPicPr>
      <xdr:blipFill>
        <a:blip r:link="rId6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3" name="Picture 463" descr="Sweden"/>
        <xdr:cNvPicPr preferRelativeResize="1">
          <a:picLocks noChangeAspect="1"/>
        </xdr:cNvPicPr>
      </xdr:nvPicPr>
      <xdr:blipFill>
        <a:blip r:link="rId6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4" name="Picture 464" descr="Guinea"/>
        <xdr:cNvPicPr preferRelativeResize="1">
          <a:picLocks noChangeAspect="1"/>
        </xdr:cNvPicPr>
      </xdr:nvPicPr>
      <xdr:blipFill>
        <a:blip r:link="rId6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5" name="Picture 465" descr="Uganda"/>
        <xdr:cNvPicPr preferRelativeResize="1">
          <a:picLocks noChangeAspect="1"/>
        </xdr:cNvPicPr>
      </xdr:nvPicPr>
      <xdr:blipFill>
        <a:blip r:link="rId6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6" name="Picture 466" descr="Qatar"/>
        <xdr:cNvPicPr preferRelativeResize="1">
          <a:picLocks noChangeAspect="1"/>
        </xdr:cNvPicPr>
      </xdr:nvPicPr>
      <xdr:blipFill>
        <a:blip r:link="rId6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7" name="Picture 467" descr="Kuwait"/>
        <xdr:cNvPicPr preferRelativeResize="1">
          <a:picLocks noChangeAspect="1"/>
        </xdr:cNvPicPr>
      </xdr:nvPicPr>
      <xdr:blipFill>
        <a:blip r:link="rId6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8" name="Picture 468" descr="Oman"/>
        <xdr:cNvPicPr preferRelativeResize="1">
          <a:picLocks noChangeAspect="1"/>
        </xdr:cNvPicPr>
      </xdr:nvPicPr>
      <xdr:blipFill>
        <a:blip r:link="rId7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69" name="Picture 469" descr="Albania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0" name="Picture 470" descr="Canada"/>
        <xdr:cNvPicPr preferRelativeResize="1">
          <a:picLocks noChangeAspect="1"/>
        </xdr:cNvPicPr>
      </xdr:nvPicPr>
      <xdr:blipFill>
        <a:blip r:link="rId7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1" name="Picture 471" descr="Bolivia"/>
        <xdr:cNvPicPr preferRelativeResize="1">
          <a:picLocks noChangeAspect="1"/>
        </xdr:cNvPicPr>
      </xdr:nvPicPr>
      <xdr:blipFill>
        <a:blip r:link="rId7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2" name="Picture 472" descr="Congo"/>
        <xdr:cNvPicPr preferRelativeResize="1">
          <a:picLocks noChangeAspect="1"/>
        </xdr:cNvPicPr>
      </xdr:nvPicPr>
      <xdr:blipFill>
        <a:blip r:link="rId7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3" name="Picture 473" descr="Libya"/>
        <xdr:cNvPicPr preferRelativeResize="1">
          <a:picLocks noChangeAspect="1"/>
        </xdr:cNvPicPr>
      </xdr:nvPicPr>
      <xdr:blipFill>
        <a:blip r:link="rId7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4" name="Picture 474" descr="Zimbabwe"/>
        <xdr:cNvPicPr preferRelativeResize="1">
          <a:picLocks noChangeAspect="1"/>
        </xdr:cNvPicPr>
      </xdr:nvPicPr>
      <xdr:blipFill>
        <a:blip r:link="rId7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5" name="Picture 475" descr="Slovenia"/>
        <xdr:cNvPicPr preferRelativeResize="1">
          <a:picLocks noChangeAspect="1"/>
        </xdr:cNvPicPr>
      </xdr:nvPicPr>
      <xdr:blipFill>
        <a:blip r:link="rId7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123825</xdr:rowOff>
    </xdr:to>
    <xdr:pic>
      <xdr:nvPicPr>
        <xdr:cNvPr id="476" name="Picture 476" descr="Croatia"/>
        <xdr:cNvPicPr preferRelativeResize="1">
          <a:picLocks noChangeAspect="1"/>
        </xdr:cNvPicPr>
      </xdr:nvPicPr>
      <xdr:blipFill>
        <a:blip r:link="rId78"/>
        <a:stretch>
          <a:fillRect/>
        </a:stretch>
      </xdr:blipFill>
      <xdr:spPr>
        <a:xfrm>
          <a:off x="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7" name="Picture 477" descr="Bulgaria"/>
        <xdr:cNvPicPr preferRelativeResize="1">
          <a:picLocks noChangeAspect="1"/>
        </xdr:cNvPicPr>
      </xdr:nvPicPr>
      <xdr:blipFill>
        <a:blip r:link="rId7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8" name="Picture 478" descr="Bahrain"/>
        <xdr:cNvPicPr preferRelativeResize="1">
          <a:picLocks noChangeAspect="1"/>
        </xdr:cNvPicPr>
      </xdr:nvPicPr>
      <xdr:blipFill>
        <a:blip r:link="rId8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79" name="Picture 479" descr="Thailand"/>
        <xdr:cNvPicPr preferRelativeResize="1">
          <a:picLocks noChangeAspect="1"/>
        </xdr:cNvPicPr>
      </xdr:nvPicPr>
      <xdr:blipFill>
        <a:blip r:link="rId8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0" name="Picture 480" descr="Gambia"/>
        <xdr:cNvPicPr preferRelativeResize="1">
          <a:picLocks noChangeAspect="1"/>
        </xdr:cNvPicPr>
      </xdr:nvPicPr>
      <xdr:blipFill>
        <a:blip r:link="rId8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1" name="Picture 481" descr="Cyprus"/>
        <xdr:cNvPicPr preferRelativeResize="1">
          <a:picLocks noChangeAspect="1"/>
        </xdr:cNvPicPr>
      </xdr:nvPicPr>
      <xdr:blipFill>
        <a:blip r:link="rId8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2" name="Picture 482" descr="Austria"/>
        <xdr:cNvPicPr preferRelativeResize="1">
          <a:picLocks noChangeAspect="1"/>
        </xdr:cNvPicPr>
      </xdr:nvPicPr>
      <xdr:blipFill>
        <a:blip r:link="rId8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3" name="Picture 483" descr="Finland"/>
        <xdr:cNvPicPr preferRelativeResize="1">
          <a:picLocks noChangeAspect="1"/>
        </xdr:cNvPicPr>
      </xdr:nvPicPr>
      <xdr:blipFill>
        <a:blip r:link="rId8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4" name="Picture 484" descr="Republic of Ireland"/>
        <xdr:cNvPicPr preferRelativeResize="1">
          <a:picLocks noChangeAspect="1"/>
        </xdr:cNvPicPr>
      </xdr:nvPicPr>
      <xdr:blipFill>
        <a:blip r:link="rId8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5" name="Picture 485" descr="Korea DPR"/>
        <xdr:cNvPicPr preferRelativeResize="1">
          <a:picLocks noChangeAspect="1"/>
        </xdr:cNvPicPr>
      </xdr:nvPicPr>
      <xdr:blipFill>
        <a:blip r:link="rId8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6" name="Picture 486" descr="Tanzania"/>
        <xdr:cNvPicPr preferRelativeResize="1">
          <a:picLocks noChangeAspect="1"/>
        </xdr:cNvPicPr>
      </xdr:nvPicPr>
      <xdr:blipFill>
        <a:blip r:link="rId8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7" name="Picture 487" descr="Vietnam"/>
        <xdr:cNvPicPr preferRelativeResize="1">
          <a:picLocks noChangeAspect="1"/>
        </xdr:cNvPicPr>
      </xdr:nvPicPr>
      <xdr:blipFill>
        <a:blip r:link="rId8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8" name="Picture 488" descr="Kazakhstan"/>
        <xdr:cNvPicPr preferRelativeResize="1">
          <a:picLocks noChangeAspect="1"/>
        </xdr:cNvPicPr>
      </xdr:nvPicPr>
      <xdr:blipFill>
        <a:blip r:link="rId9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89" name="Picture 489" descr="Laos"/>
        <xdr:cNvPicPr preferRelativeResize="1">
          <a:picLocks noChangeAspect="1"/>
        </xdr:cNvPicPr>
      </xdr:nvPicPr>
      <xdr:blipFill>
        <a:blip r:link="rId9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0" name="Picture 490" descr="Guinea-Bissau"/>
        <xdr:cNvPicPr preferRelativeResize="1">
          <a:picLocks noChangeAspect="1"/>
        </xdr:cNvPicPr>
      </xdr:nvPicPr>
      <xdr:blipFill>
        <a:blip r:link="rId9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1" name="Picture 491" descr="Switzerland"/>
        <xdr:cNvPicPr preferRelativeResize="1">
          <a:picLocks noChangeAspect="1"/>
        </xdr:cNvPicPr>
      </xdr:nvPicPr>
      <xdr:blipFill>
        <a:blip r:link="rId9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2" name="Picture 492" descr="Georgia"/>
        <xdr:cNvPicPr preferRelativeResize="1">
          <a:picLocks noChangeAspect="1"/>
        </xdr:cNvPicPr>
      </xdr:nvPicPr>
      <xdr:blipFill>
        <a:blip r:link="rId9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3" name="Picture 493" descr="Congo DR"/>
        <xdr:cNvPicPr preferRelativeResize="1">
          <a:picLocks noChangeAspect="1"/>
        </xdr:cNvPicPr>
      </xdr:nvPicPr>
      <xdr:blipFill>
        <a:blip r:link="rId9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4" name="Picture 494" descr="Jordan"/>
        <xdr:cNvPicPr preferRelativeResize="1">
          <a:picLocks noChangeAspect="1"/>
        </xdr:cNvPicPr>
      </xdr:nvPicPr>
      <xdr:blipFill>
        <a:blip r:link="rId9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5" name="Picture 495" descr="Rwanda"/>
        <xdr:cNvPicPr preferRelativeResize="1">
          <a:picLocks noChangeAspect="1"/>
        </xdr:cNvPicPr>
      </xdr:nvPicPr>
      <xdr:blipFill>
        <a:blip r:link="rId9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6" name="Picture 496" descr="Sudan"/>
        <xdr:cNvPicPr preferRelativeResize="1">
          <a:picLocks noChangeAspect="1"/>
        </xdr:cNvPicPr>
      </xdr:nvPicPr>
      <xdr:blipFill>
        <a:blip r:link="rId98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7" name="Picture 497" descr="Namibia"/>
        <xdr:cNvPicPr preferRelativeResize="1">
          <a:picLocks noChangeAspect="1"/>
        </xdr:cNvPicPr>
      </xdr:nvPicPr>
      <xdr:blipFill>
        <a:blip r:link="rId9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8" name="Picture 498" descr="United Arab Emirates"/>
        <xdr:cNvPicPr preferRelativeResize="1">
          <a:picLocks noChangeAspect="1"/>
        </xdr:cNvPicPr>
      </xdr:nvPicPr>
      <xdr:blipFill>
        <a:blip r:link="rId10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499" name="Picture 499" descr="Iraq"/>
        <xdr:cNvPicPr preferRelativeResize="1">
          <a:picLocks noChangeAspect="1"/>
        </xdr:cNvPicPr>
      </xdr:nvPicPr>
      <xdr:blipFill>
        <a:blip r:link="rId101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0" name="Picture 500" descr="Uzbekistan"/>
        <xdr:cNvPicPr preferRelativeResize="1">
          <a:picLocks noChangeAspect="1"/>
        </xdr:cNvPicPr>
      </xdr:nvPicPr>
      <xdr:blipFill>
        <a:blip r:link="rId102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1" name="Picture 501" descr="Chad"/>
        <xdr:cNvPicPr preferRelativeResize="1">
          <a:picLocks noChangeAspect="1"/>
        </xdr:cNvPicPr>
      </xdr:nvPicPr>
      <xdr:blipFill>
        <a:blip r:link="rId103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2" name="Picture 502" descr="India"/>
        <xdr:cNvPicPr preferRelativeResize="1">
          <a:picLocks noChangeAspect="1"/>
        </xdr:cNvPicPr>
      </xdr:nvPicPr>
      <xdr:blipFill>
        <a:blip r:link="rId104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3" name="Picture 503" descr="Eritrea"/>
        <xdr:cNvPicPr preferRelativeResize="1">
          <a:picLocks noChangeAspect="1"/>
        </xdr:cNvPicPr>
      </xdr:nvPicPr>
      <xdr:blipFill>
        <a:blip r:link="rId105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4" name="Picture 504" descr="Mongolia"/>
        <xdr:cNvPicPr preferRelativeResize="1">
          <a:picLocks noChangeAspect="1"/>
        </xdr:cNvPicPr>
      </xdr:nvPicPr>
      <xdr:blipFill>
        <a:blip r:link="rId106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5" name="Picture 505" descr="Sierra Leone"/>
        <xdr:cNvPicPr preferRelativeResize="1">
          <a:picLocks noChangeAspect="1"/>
        </xdr:cNvPicPr>
      </xdr:nvPicPr>
      <xdr:blipFill>
        <a:blip r:link="rId107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123825</xdr:rowOff>
    </xdr:to>
    <xdr:pic>
      <xdr:nvPicPr>
        <xdr:cNvPr id="506" name="Picture 506" descr="Fiji"/>
        <xdr:cNvPicPr preferRelativeResize="1">
          <a:picLocks noChangeAspect="1"/>
        </xdr:cNvPicPr>
      </xdr:nvPicPr>
      <xdr:blipFill>
        <a:blip r:link="rId108"/>
        <a:stretch>
          <a:fillRect/>
        </a:stretch>
      </xdr:blipFill>
      <xdr:spPr>
        <a:xfrm>
          <a:off x="0" y="9077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7" name="Picture 507" descr="Iceland"/>
        <xdr:cNvPicPr preferRelativeResize="1">
          <a:picLocks noChangeAspect="1"/>
        </xdr:cNvPicPr>
      </xdr:nvPicPr>
      <xdr:blipFill>
        <a:blip r:link="rId109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pic>
      <xdr:nvPicPr>
        <xdr:cNvPr id="508" name="Picture 508" descr="Belgium"/>
        <xdr:cNvPicPr preferRelativeResize="1">
          <a:picLocks noChangeAspect="1"/>
        </xdr:cNvPicPr>
      </xdr:nvPicPr>
      <xdr:blipFill>
        <a:blip r:link="rId110"/>
        <a:stretch>
          <a:fillRect/>
        </a:stretch>
      </xdr:blipFill>
      <xdr:spPr>
        <a:xfrm>
          <a:off x="0" y="87534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123825</xdr:rowOff>
    </xdr:to>
    <xdr:pic>
      <xdr:nvPicPr>
        <xdr:cNvPr id="509" name="Picture 509" descr="Moldova"/>
        <xdr:cNvPicPr preferRelativeResize="1">
          <a:picLocks noChangeAspect="1"/>
        </xdr:cNvPicPr>
      </xdr:nvPicPr>
      <xdr:blipFill>
        <a:blip r:link="rId111"/>
        <a:stretch>
          <a:fillRect/>
        </a:stretch>
      </xdr:blipFill>
      <xdr:spPr>
        <a:xfrm>
          <a:off x="0" y="9239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123825</xdr:rowOff>
    </xdr:to>
    <xdr:pic>
      <xdr:nvPicPr>
        <xdr:cNvPr id="510" name="Picture 510" descr="Myanmar"/>
        <xdr:cNvPicPr preferRelativeResize="1">
          <a:picLocks noChangeAspect="1"/>
        </xdr:cNvPicPr>
      </xdr:nvPicPr>
      <xdr:blipFill>
        <a:blip r:link="rId112"/>
        <a:stretch>
          <a:fillRect/>
        </a:stretch>
      </xdr:blipFill>
      <xdr:spPr>
        <a:xfrm>
          <a:off x="0" y="9401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123825</xdr:rowOff>
    </xdr:to>
    <xdr:pic>
      <xdr:nvPicPr>
        <xdr:cNvPr id="511" name="Picture 511" descr="Suriname"/>
        <xdr:cNvPicPr preferRelativeResize="1">
          <a:picLocks noChangeAspect="1"/>
        </xdr:cNvPicPr>
      </xdr:nvPicPr>
      <xdr:blipFill>
        <a:blip r:link="rId113"/>
        <a:stretch>
          <a:fillRect/>
        </a:stretch>
      </xdr:blipFill>
      <xdr:spPr>
        <a:xfrm>
          <a:off x="0" y="9563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123825</xdr:rowOff>
    </xdr:to>
    <xdr:pic>
      <xdr:nvPicPr>
        <xdr:cNvPr id="512" name="Picture 512" descr="Malta"/>
        <xdr:cNvPicPr preferRelativeResize="1">
          <a:picLocks noChangeAspect="1"/>
        </xdr:cNvPicPr>
      </xdr:nvPicPr>
      <xdr:blipFill>
        <a:blip r:link="rId114"/>
        <a:stretch>
          <a:fillRect/>
        </a:stretch>
      </xdr:blipFill>
      <xdr:spPr>
        <a:xfrm>
          <a:off x="0" y="9725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60</xdr:row>
      <xdr:rowOff>123825</xdr:rowOff>
    </xdr:to>
    <xdr:pic>
      <xdr:nvPicPr>
        <xdr:cNvPr id="513" name="Picture 513" descr="Benin"/>
        <xdr:cNvPicPr preferRelativeResize="1">
          <a:picLocks noChangeAspect="1"/>
        </xdr:cNvPicPr>
      </xdr:nvPicPr>
      <xdr:blipFill>
        <a:blip r:link="rId115"/>
        <a:stretch>
          <a:fillRect/>
        </a:stretch>
      </xdr:blipFill>
      <xdr:spPr>
        <a:xfrm>
          <a:off x="0" y="9886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123825</xdr:rowOff>
    </xdr:to>
    <xdr:pic>
      <xdr:nvPicPr>
        <xdr:cNvPr id="514" name="Picture 514" descr="Denmark"/>
        <xdr:cNvPicPr preferRelativeResize="1">
          <a:picLocks noChangeAspect="1"/>
        </xdr:cNvPicPr>
      </xdr:nvPicPr>
      <xdr:blipFill>
        <a:blip r:link="rId116"/>
        <a:stretch>
          <a:fillRect/>
        </a:stretch>
      </xdr:blipFill>
      <xdr:spPr>
        <a:xfrm>
          <a:off x="0" y="8915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123825</xdr:rowOff>
    </xdr:to>
    <xdr:pic>
      <xdr:nvPicPr>
        <xdr:cNvPr id="515" name="Picture 515" descr="Israel"/>
        <xdr:cNvPicPr preferRelativeResize="1">
          <a:picLocks noChangeAspect="1"/>
        </xdr:cNvPicPr>
      </xdr:nvPicPr>
      <xdr:blipFill>
        <a:blip r:link="rId117"/>
        <a:stretch>
          <a:fillRect/>
        </a:stretch>
      </xdr:blipFill>
      <xdr:spPr>
        <a:xfrm>
          <a:off x="0" y="10048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123825</xdr:rowOff>
    </xdr:to>
    <xdr:pic>
      <xdr:nvPicPr>
        <xdr:cNvPr id="516" name="Picture 516" descr="Azerbaijan"/>
        <xdr:cNvPicPr preferRelativeResize="1">
          <a:picLocks noChangeAspect="1"/>
        </xdr:cNvPicPr>
      </xdr:nvPicPr>
      <xdr:blipFill>
        <a:blip r:link="rId118"/>
        <a:stretch>
          <a:fillRect/>
        </a:stretch>
      </xdr:blipFill>
      <xdr:spPr>
        <a:xfrm>
          <a:off x="0" y="10210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123825</xdr:rowOff>
    </xdr:to>
    <xdr:pic>
      <xdr:nvPicPr>
        <xdr:cNvPr id="517" name="Picture 517" descr="Armenia"/>
        <xdr:cNvPicPr preferRelativeResize="1">
          <a:picLocks noChangeAspect="1"/>
        </xdr:cNvPicPr>
      </xdr:nvPicPr>
      <xdr:blipFill>
        <a:blip r:link="rId119"/>
        <a:stretch>
          <a:fillRect/>
        </a:stretch>
      </xdr:blipFill>
      <xdr:spPr>
        <a:xfrm>
          <a:off x="0" y="8753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123825</xdr:rowOff>
    </xdr:to>
    <xdr:pic>
      <xdr:nvPicPr>
        <xdr:cNvPr id="518" name="Picture 518" descr="Togo"/>
        <xdr:cNvPicPr preferRelativeResize="1">
          <a:picLocks noChangeAspect="1"/>
        </xdr:cNvPicPr>
      </xdr:nvPicPr>
      <xdr:blipFill>
        <a:blip r:link="rId120"/>
        <a:stretch>
          <a:fillRect/>
        </a:stretch>
      </xdr:blipFill>
      <xdr:spPr>
        <a:xfrm>
          <a:off x="0" y="10372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123825</xdr:rowOff>
    </xdr:to>
    <xdr:pic>
      <xdr:nvPicPr>
        <xdr:cNvPr id="519" name="Picture 519" descr="El Salvador"/>
        <xdr:cNvPicPr preferRelativeResize="1">
          <a:picLocks noChangeAspect="1"/>
        </xdr:cNvPicPr>
      </xdr:nvPicPr>
      <xdr:blipFill>
        <a:blip r:link="rId121"/>
        <a:stretch>
          <a:fillRect/>
        </a:stretch>
      </xdr:blipFill>
      <xdr:spPr>
        <a:xfrm>
          <a:off x="0" y="10534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123825</xdr:rowOff>
    </xdr:to>
    <xdr:pic>
      <xdr:nvPicPr>
        <xdr:cNvPr id="520" name="Picture 520" descr="Panama"/>
        <xdr:cNvPicPr preferRelativeResize="1">
          <a:picLocks noChangeAspect="1"/>
        </xdr:cNvPicPr>
      </xdr:nvPicPr>
      <xdr:blipFill>
        <a:blip r:link="rId122"/>
        <a:stretch>
          <a:fillRect/>
        </a:stretch>
      </xdr:blipFill>
      <xdr:spPr>
        <a:xfrm>
          <a:off x="0" y="10696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123825</xdr:rowOff>
    </xdr:to>
    <xdr:pic>
      <xdr:nvPicPr>
        <xdr:cNvPr id="521" name="Picture 521" descr="Malawi"/>
        <xdr:cNvPicPr preferRelativeResize="1">
          <a:picLocks noChangeAspect="1"/>
        </xdr:cNvPicPr>
      </xdr:nvPicPr>
      <xdr:blipFill>
        <a:blip r:link="rId123"/>
        <a:stretch>
          <a:fillRect/>
        </a:stretch>
      </xdr:blipFill>
      <xdr:spPr>
        <a:xfrm>
          <a:off x="0" y="10858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123825</xdr:rowOff>
    </xdr:to>
    <xdr:pic>
      <xdr:nvPicPr>
        <xdr:cNvPr id="522" name="Picture 522" descr="Trinidad and Tobago"/>
        <xdr:cNvPicPr preferRelativeResize="1">
          <a:picLocks noChangeAspect="1"/>
        </xdr:cNvPicPr>
      </xdr:nvPicPr>
      <xdr:blipFill>
        <a:blip r:link="rId124"/>
        <a:stretch>
          <a:fillRect/>
        </a:stretch>
      </xdr:blipFill>
      <xdr:spPr>
        <a:xfrm>
          <a:off x="0" y="11020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123825</xdr:rowOff>
    </xdr:to>
    <xdr:pic>
      <xdr:nvPicPr>
        <xdr:cNvPr id="523" name="Picture 523" descr="Haiti"/>
        <xdr:cNvPicPr preferRelativeResize="1">
          <a:picLocks noChangeAspect="1"/>
        </xdr:cNvPicPr>
      </xdr:nvPicPr>
      <xdr:blipFill>
        <a:blip r:link="rId125"/>
        <a:stretch>
          <a:fillRect/>
        </a:stretch>
      </xdr:blipFill>
      <xdr:spPr>
        <a:xfrm>
          <a:off x="0" y="11182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123825</xdr:rowOff>
    </xdr:to>
    <xdr:pic>
      <xdr:nvPicPr>
        <xdr:cNvPr id="524" name="Picture 524" descr="Syria"/>
        <xdr:cNvPicPr preferRelativeResize="1">
          <a:picLocks noChangeAspect="1"/>
        </xdr:cNvPicPr>
      </xdr:nvPicPr>
      <xdr:blipFill>
        <a:blip r:link="rId126"/>
        <a:stretch>
          <a:fillRect/>
        </a:stretch>
      </xdr:blipFill>
      <xdr:spPr>
        <a:xfrm>
          <a:off x="0" y="11344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123825</xdr:rowOff>
    </xdr:to>
    <xdr:pic>
      <xdr:nvPicPr>
        <xdr:cNvPr id="525" name="Picture 525" descr="Cape Verde Islands"/>
        <xdr:cNvPicPr preferRelativeResize="1">
          <a:picLocks noChangeAspect="1"/>
        </xdr:cNvPicPr>
      </xdr:nvPicPr>
      <xdr:blipFill>
        <a:blip r:link="rId127"/>
        <a:stretch>
          <a:fillRect/>
        </a:stretch>
      </xdr:blipFill>
      <xdr:spPr>
        <a:xfrm>
          <a:off x="0" y="11506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123825</xdr:rowOff>
    </xdr:to>
    <xdr:pic>
      <xdr:nvPicPr>
        <xdr:cNvPr id="526" name="Picture 526" descr="Yemen"/>
        <xdr:cNvPicPr preferRelativeResize="1">
          <a:picLocks noChangeAspect="1"/>
        </xdr:cNvPicPr>
      </xdr:nvPicPr>
      <xdr:blipFill>
        <a:blip r:link="rId128"/>
        <a:stretch>
          <a:fillRect/>
        </a:stretch>
      </xdr:blipFill>
      <xdr:spPr>
        <a:xfrm>
          <a:off x="0" y="11668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123825</xdr:rowOff>
    </xdr:to>
    <xdr:pic>
      <xdr:nvPicPr>
        <xdr:cNvPr id="527" name="Picture 527" descr="Faroe Islands"/>
        <xdr:cNvPicPr preferRelativeResize="1">
          <a:picLocks noChangeAspect="1"/>
        </xdr:cNvPicPr>
      </xdr:nvPicPr>
      <xdr:blipFill>
        <a:blip r:link="rId129"/>
        <a:stretch>
          <a:fillRect/>
        </a:stretch>
      </xdr:blipFill>
      <xdr:spPr>
        <a:xfrm>
          <a:off x="0" y="11830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123825</xdr:rowOff>
    </xdr:to>
    <xdr:pic>
      <xdr:nvPicPr>
        <xdr:cNvPr id="528" name="Picture 528" descr="Botswana"/>
        <xdr:cNvPicPr preferRelativeResize="1">
          <a:picLocks noChangeAspect="1"/>
        </xdr:cNvPicPr>
      </xdr:nvPicPr>
      <xdr:blipFill>
        <a:blip r:link="rId130"/>
        <a:stretch>
          <a:fillRect/>
        </a:stretch>
      </xdr:blipFill>
      <xdr:spPr>
        <a:xfrm>
          <a:off x="0" y="12315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123825</xdr:rowOff>
    </xdr:to>
    <xdr:pic>
      <xdr:nvPicPr>
        <xdr:cNvPr id="529" name="Picture 529" descr="Singapore"/>
        <xdr:cNvPicPr preferRelativeResize="1">
          <a:picLocks noChangeAspect="1"/>
        </xdr:cNvPicPr>
      </xdr:nvPicPr>
      <xdr:blipFill>
        <a:blip r:link="rId131"/>
        <a:stretch>
          <a:fillRect/>
        </a:stretch>
      </xdr:blipFill>
      <xdr:spPr>
        <a:xfrm>
          <a:off x="0" y="12639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123825</xdr:rowOff>
    </xdr:to>
    <xdr:pic>
      <xdr:nvPicPr>
        <xdr:cNvPr id="530" name="Picture 530" descr="Guatemala"/>
        <xdr:cNvPicPr preferRelativeResize="1">
          <a:picLocks noChangeAspect="1"/>
        </xdr:cNvPicPr>
      </xdr:nvPicPr>
      <xdr:blipFill>
        <a:blip r:link="rId132"/>
        <a:stretch>
          <a:fillRect/>
        </a:stretch>
      </xdr:blipFill>
      <xdr:spPr>
        <a:xfrm>
          <a:off x="0" y="12801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123825</xdr:rowOff>
    </xdr:to>
    <xdr:pic>
      <xdr:nvPicPr>
        <xdr:cNvPr id="531" name="Picture 531" descr="Turkmenistan"/>
        <xdr:cNvPicPr preferRelativeResize="1">
          <a:picLocks noChangeAspect="1"/>
        </xdr:cNvPicPr>
      </xdr:nvPicPr>
      <xdr:blipFill>
        <a:blip r:link="rId133"/>
        <a:stretch>
          <a:fillRect/>
        </a:stretch>
      </xdr:blipFill>
      <xdr:spPr>
        <a:xfrm>
          <a:off x="0" y="11991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123825</xdr:rowOff>
    </xdr:to>
    <xdr:pic>
      <xdr:nvPicPr>
        <xdr:cNvPr id="532" name="Picture 532" descr="Equatorial Guinea"/>
        <xdr:cNvPicPr preferRelativeResize="1">
          <a:picLocks noChangeAspect="1"/>
        </xdr:cNvPicPr>
      </xdr:nvPicPr>
      <xdr:blipFill>
        <a:blip r:link="rId134"/>
        <a:stretch>
          <a:fillRect/>
        </a:stretch>
      </xdr:blipFill>
      <xdr:spPr>
        <a:xfrm>
          <a:off x="0" y="13125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123825</xdr:rowOff>
    </xdr:to>
    <xdr:pic>
      <xdr:nvPicPr>
        <xdr:cNvPr id="533" name="Picture 533" descr="Bangladesh"/>
        <xdr:cNvPicPr preferRelativeResize="1">
          <a:picLocks noChangeAspect="1"/>
        </xdr:cNvPicPr>
      </xdr:nvPicPr>
      <xdr:blipFill>
        <a:blip r:link="rId135"/>
        <a:stretch>
          <a:fillRect/>
        </a:stretch>
      </xdr:blipFill>
      <xdr:spPr>
        <a:xfrm>
          <a:off x="0" y="13287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123825</xdr:rowOff>
    </xdr:to>
    <xdr:pic>
      <xdr:nvPicPr>
        <xdr:cNvPr id="534" name="Picture 534" descr="Burundi"/>
        <xdr:cNvPicPr preferRelativeResize="1">
          <a:picLocks noChangeAspect="1"/>
        </xdr:cNvPicPr>
      </xdr:nvPicPr>
      <xdr:blipFill>
        <a:blip r:link="rId136"/>
        <a:stretch>
          <a:fillRect/>
        </a:stretch>
      </xdr:blipFill>
      <xdr:spPr>
        <a:xfrm>
          <a:off x="0" y="13449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123825</xdr:rowOff>
    </xdr:to>
    <xdr:pic>
      <xdr:nvPicPr>
        <xdr:cNvPr id="535" name="Picture 535" descr="Tajikistan"/>
        <xdr:cNvPicPr preferRelativeResize="1">
          <a:picLocks noChangeAspect="1"/>
        </xdr:cNvPicPr>
      </xdr:nvPicPr>
      <xdr:blipFill>
        <a:blip r:link="rId137"/>
        <a:stretch>
          <a:fillRect/>
        </a:stretch>
      </xdr:blipFill>
      <xdr:spPr>
        <a:xfrm>
          <a:off x="0" y="13611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123825</xdr:rowOff>
    </xdr:to>
    <xdr:pic>
      <xdr:nvPicPr>
        <xdr:cNvPr id="536" name="Picture 536" descr="Lebanon"/>
        <xdr:cNvPicPr preferRelativeResize="1">
          <a:picLocks noChangeAspect="1"/>
        </xdr:cNvPicPr>
      </xdr:nvPicPr>
      <xdr:blipFill>
        <a:blip r:link="rId138"/>
        <a:stretch>
          <a:fillRect/>
        </a:stretch>
      </xdr:blipFill>
      <xdr:spPr>
        <a:xfrm>
          <a:off x="0" y="12477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123825</xdr:rowOff>
    </xdr:to>
    <xdr:pic>
      <xdr:nvPicPr>
        <xdr:cNvPr id="537" name="Picture 537" descr="Cuba"/>
        <xdr:cNvPicPr preferRelativeResize="1">
          <a:picLocks noChangeAspect="1"/>
        </xdr:cNvPicPr>
      </xdr:nvPicPr>
      <xdr:blipFill>
        <a:blip r:link="rId139"/>
        <a:stretch>
          <a:fillRect/>
        </a:stretch>
      </xdr:blipFill>
      <xdr:spPr>
        <a:xfrm>
          <a:off x="0" y="13773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123825</xdr:rowOff>
    </xdr:to>
    <xdr:pic>
      <xdr:nvPicPr>
        <xdr:cNvPr id="538" name="Picture 538" descr="Swaziland"/>
        <xdr:cNvPicPr preferRelativeResize="1">
          <a:picLocks noChangeAspect="1"/>
        </xdr:cNvPicPr>
      </xdr:nvPicPr>
      <xdr:blipFill>
        <a:blip r:link="rId140"/>
        <a:stretch>
          <a:fillRect/>
        </a:stretch>
      </xdr:blipFill>
      <xdr:spPr>
        <a:xfrm>
          <a:off x="0" y="13935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123825</xdr:rowOff>
    </xdr:to>
    <xdr:pic>
      <xdr:nvPicPr>
        <xdr:cNvPr id="539" name="Picture 539" descr="Pakistan"/>
        <xdr:cNvPicPr preferRelativeResize="1">
          <a:picLocks noChangeAspect="1"/>
        </xdr:cNvPicPr>
      </xdr:nvPicPr>
      <xdr:blipFill>
        <a:blip r:link="rId141"/>
        <a:stretch>
          <a:fillRect/>
        </a:stretch>
      </xdr:blipFill>
      <xdr:spPr>
        <a:xfrm>
          <a:off x="0" y="12963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123825</xdr:rowOff>
    </xdr:to>
    <xdr:pic>
      <xdr:nvPicPr>
        <xdr:cNvPr id="540" name="Picture 540" descr="Nepal"/>
        <xdr:cNvPicPr preferRelativeResize="1">
          <a:picLocks noChangeAspect="1"/>
        </xdr:cNvPicPr>
      </xdr:nvPicPr>
      <xdr:blipFill>
        <a:blip r:link="rId142"/>
        <a:stretch>
          <a:fillRect/>
        </a:stretch>
      </xdr:blipFill>
      <xdr:spPr>
        <a:xfrm>
          <a:off x="0" y="14097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123825</xdr:rowOff>
    </xdr:to>
    <xdr:pic>
      <xdr:nvPicPr>
        <xdr:cNvPr id="541" name="Picture 541" descr="Sri Lanka"/>
        <xdr:cNvPicPr preferRelativeResize="1">
          <a:picLocks noChangeAspect="1"/>
        </xdr:cNvPicPr>
      </xdr:nvPicPr>
      <xdr:blipFill>
        <a:blip r:link="rId143"/>
        <a:stretch>
          <a:fillRect/>
        </a:stretch>
      </xdr:blipFill>
      <xdr:spPr>
        <a:xfrm>
          <a:off x="0" y="14420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90</xdr:row>
      <xdr:rowOff>123825</xdr:rowOff>
    </xdr:to>
    <xdr:pic>
      <xdr:nvPicPr>
        <xdr:cNvPr id="542" name="Picture 542" descr="Kyrgyzstan"/>
        <xdr:cNvPicPr preferRelativeResize="1">
          <a:picLocks noChangeAspect="1"/>
        </xdr:cNvPicPr>
      </xdr:nvPicPr>
      <xdr:blipFill>
        <a:blip r:link="rId144"/>
        <a:stretch>
          <a:fillRect/>
        </a:stretch>
      </xdr:blipFill>
      <xdr:spPr>
        <a:xfrm>
          <a:off x="0" y="14744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87</xdr:row>
      <xdr:rowOff>123825</xdr:rowOff>
    </xdr:to>
    <xdr:pic>
      <xdr:nvPicPr>
        <xdr:cNvPr id="543" name="Picture 543" descr="Liberia"/>
        <xdr:cNvPicPr preferRelativeResize="1">
          <a:picLocks noChangeAspect="1"/>
        </xdr:cNvPicPr>
      </xdr:nvPicPr>
      <xdr:blipFill>
        <a:blip r:link="rId145"/>
        <a:stretch>
          <a:fillRect/>
        </a:stretch>
      </xdr:blipFill>
      <xdr:spPr>
        <a:xfrm>
          <a:off x="0" y="14258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89</xdr:row>
      <xdr:rowOff>123825</xdr:rowOff>
    </xdr:to>
    <xdr:pic>
      <xdr:nvPicPr>
        <xdr:cNvPr id="544" name="Picture 544" descr="Mauritania"/>
        <xdr:cNvPicPr preferRelativeResize="1">
          <a:picLocks noChangeAspect="1"/>
        </xdr:cNvPicPr>
      </xdr:nvPicPr>
      <xdr:blipFill>
        <a:blip r:link="rId146"/>
        <a:stretch>
          <a:fillRect/>
        </a:stretch>
      </xdr:blipFill>
      <xdr:spPr>
        <a:xfrm>
          <a:off x="0" y="14582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123825</xdr:rowOff>
    </xdr:to>
    <xdr:pic>
      <xdr:nvPicPr>
        <xdr:cNvPr id="545" name="Picture 545" descr="Luxembourg"/>
        <xdr:cNvPicPr preferRelativeResize="1">
          <a:picLocks noChangeAspect="1"/>
        </xdr:cNvPicPr>
      </xdr:nvPicPr>
      <xdr:blipFill>
        <a:blip r:link="rId147"/>
        <a:stretch>
          <a:fillRect/>
        </a:stretch>
      </xdr:blipFill>
      <xdr:spPr>
        <a:xfrm>
          <a:off x="0" y="15230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92</xdr:row>
      <xdr:rowOff>0</xdr:rowOff>
    </xdr:from>
    <xdr:to>
      <xdr:col>0</xdr:col>
      <xdr:colOff>0</xdr:colOff>
      <xdr:row>92</xdr:row>
      <xdr:rowOff>123825</xdr:rowOff>
    </xdr:to>
    <xdr:pic>
      <xdr:nvPicPr>
        <xdr:cNvPr id="546" name="Picture 546" descr="Indonesia"/>
        <xdr:cNvPicPr preferRelativeResize="1">
          <a:picLocks noChangeAspect="1"/>
        </xdr:cNvPicPr>
      </xdr:nvPicPr>
      <xdr:blipFill>
        <a:blip r:link="rId148"/>
        <a:stretch>
          <a:fillRect/>
        </a:stretch>
      </xdr:blipFill>
      <xdr:spPr>
        <a:xfrm>
          <a:off x="0" y="15068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91</xdr:row>
      <xdr:rowOff>0</xdr:rowOff>
    </xdr:from>
    <xdr:to>
      <xdr:col>0</xdr:col>
      <xdr:colOff>0</xdr:colOff>
      <xdr:row>91</xdr:row>
      <xdr:rowOff>123825</xdr:rowOff>
    </xdr:to>
    <xdr:pic>
      <xdr:nvPicPr>
        <xdr:cNvPr id="547" name="Picture 547" descr="Madagascar"/>
        <xdr:cNvPicPr preferRelativeResize="1">
          <a:picLocks noChangeAspect="1"/>
        </xdr:cNvPicPr>
      </xdr:nvPicPr>
      <xdr:blipFill>
        <a:blip r:link="rId149"/>
        <a:stretch>
          <a:fillRect/>
        </a:stretch>
      </xdr:blipFill>
      <xdr:spPr>
        <a:xfrm>
          <a:off x="0" y="14906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94</xdr:row>
      <xdr:rowOff>123825</xdr:rowOff>
    </xdr:to>
    <xdr:pic>
      <xdr:nvPicPr>
        <xdr:cNvPr id="548" name="Picture 548" descr="Guyana"/>
        <xdr:cNvPicPr preferRelativeResize="1">
          <a:picLocks noChangeAspect="1"/>
        </xdr:cNvPicPr>
      </xdr:nvPicPr>
      <xdr:blipFill>
        <a:blip r:link="rId150"/>
        <a:stretch>
          <a:fillRect/>
        </a:stretch>
      </xdr:blipFill>
      <xdr:spPr>
        <a:xfrm>
          <a:off x="0" y="15392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123825</xdr:rowOff>
    </xdr:to>
    <xdr:pic>
      <xdr:nvPicPr>
        <xdr:cNvPr id="549" name="Picture 549" descr="Antigua and Barbuda"/>
        <xdr:cNvPicPr preferRelativeResize="1">
          <a:picLocks noChangeAspect="1"/>
        </xdr:cNvPicPr>
      </xdr:nvPicPr>
      <xdr:blipFill>
        <a:blip r:link="rId151"/>
        <a:stretch>
          <a:fillRect/>
        </a:stretch>
      </xdr:blipFill>
      <xdr:spPr>
        <a:xfrm>
          <a:off x="0" y="15716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0</xdr:colOff>
      <xdr:row>97</xdr:row>
      <xdr:rowOff>123825</xdr:rowOff>
    </xdr:to>
    <xdr:pic>
      <xdr:nvPicPr>
        <xdr:cNvPr id="550" name="Picture 550" descr="Barbados"/>
        <xdr:cNvPicPr preferRelativeResize="1">
          <a:picLocks noChangeAspect="1"/>
        </xdr:cNvPicPr>
      </xdr:nvPicPr>
      <xdr:blipFill>
        <a:blip r:link="rId152"/>
        <a:stretch>
          <a:fillRect/>
        </a:stretch>
      </xdr:blipFill>
      <xdr:spPr>
        <a:xfrm>
          <a:off x="0" y="15878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0</xdr:colOff>
      <xdr:row>98</xdr:row>
      <xdr:rowOff>123825</xdr:rowOff>
    </xdr:to>
    <xdr:pic>
      <xdr:nvPicPr>
        <xdr:cNvPr id="551" name="Picture 551" descr="Grenada"/>
        <xdr:cNvPicPr preferRelativeResize="1">
          <a:picLocks noChangeAspect="1"/>
        </xdr:cNvPicPr>
      </xdr:nvPicPr>
      <xdr:blipFill>
        <a:blip r:link="rId153"/>
        <a:stretch>
          <a:fillRect/>
        </a:stretch>
      </xdr:blipFill>
      <xdr:spPr>
        <a:xfrm>
          <a:off x="0" y="16040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99</xdr:row>
      <xdr:rowOff>0</xdr:rowOff>
    </xdr:from>
    <xdr:to>
      <xdr:col>0</xdr:col>
      <xdr:colOff>0</xdr:colOff>
      <xdr:row>99</xdr:row>
      <xdr:rowOff>123825</xdr:rowOff>
    </xdr:to>
    <xdr:pic>
      <xdr:nvPicPr>
        <xdr:cNvPr id="552" name="Picture 552" descr="Bermuda"/>
        <xdr:cNvPicPr preferRelativeResize="1">
          <a:picLocks noChangeAspect="1"/>
        </xdr:cNvPicPr>
      </xdr:nvPicPr>
      <xdr:blipFill>
        <a:blip r:link="rId154"/>
        <a:stretch>
          <a:fillRect/>
        </a:stretch>
      </xdr:blipFill>
      <xdr:spPr>
        <a:xfrm>
          <a:off x="0" y="16202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100</xdr:row>
      <xdr:rowOff>123825</xdr:rowOff>
    </xdr:to>
    <xdr:pic>
      <xdr:nvPicPr>
        <xdr:cNvPr id="553" name="Picture 553" descr="Hong Kong"/>
        <xdr:cNvPicPr preferRelativeResize="1">
          <a:picLocks noChangeAspect="1"/>
        </xdr:cNvPicPr>
      </xdr:nvPicPr>
      <xdr:blipFill>
        <a:blip r:link="rId155"/>
        <a:stretch>
          <a:fillRect/>
        </a:stretch>
      </xdr:blipFill>
      <xdr:spPr>
        <a:xfrm>
          <a:off x="0" y="16363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101</xdr:row>
      <xdr:rowOff>0</xdr:rowOff>
    </xdr:from>
    <xdr:to>
      <xdr:col>0</xdr:col>
      <xdr:colOff>0</xdr:colOff>
      <xdr:row>101</xdr:row>
      <xdr:rowOff>123825</xdr:rowOff>
    </xdr:to>
    <xdr:pic>
      <xdr:nvPicPr>
        <xdr:cNvPr id="554" name="Picture 554" descr="Maldives"/>
        <xdr:cNvPicPr preferRelativeResize="1">
          <a:picLocks noChangeAspect="1"/>
        </xdr:cNvPicPr>
      </xdr:nvPicPr>
      <xdr:blipFill>
        <a:blip r:link="rId156"/>
        <a:stretch>
          <a:fillRect/>
        </a:stretch>
      </xdr:blipFill>
      <xdr:spPr>
        <a:xfrm>
          <a:off x="0" y="16525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102</xdr:row>
      <xdr:rowOff>123825</xdr:rowOff>
    </xdr:to>
    <xdr:pic>
      <xdr:nvPicPr>
        <xdr:cNvPr id="555" name="Picture 555" descr="New Caledonia"/>
        <xdr:cNvPicPr preferRelativeResize="1">
          <a:picLocks noChangeAspect="1"/>
        </xdr:cNvPicPr>
      </xdr:nvPicPr>
      <xdr:blipFill>
        <a:blip r:link="rId157"/>
        <a:stretch>
          <a:fillRect/>
        </a:stretch>
      </xdr:blipFill>
      <xdr:spPr>
        <a:xfrm>
          <a:off x="0" y="16687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104</xdr:row>
      <xdr:rowOff>123825</xdr:rowOff>
    </xdr:to>
    <xdr:pic>
      <xdr:nvPicPr>
        <xdr:cNvPr id="556" name="Picture 556" descr="Lesotho"/>
        <xdr:cNvPicPr preferRelativeResize="1">
          <a:picLocks noChangeAspect="1"/>
        </xdr:cNvPicPr>
      </xdr:nvPicPr>
      <xdr:blipFill>
        <a:blip r:link="rId158"/>
        <a:stretch>
          <a:fillRect/>
        </a:stretch>
      </xdr:blipFill>
      <xdr:spPr>
        <a:xfrm>
          <a:off x="0" y="17011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105</xdr:row>
      <xdr:rowOff>0</xdr:rowOff>
    </xdr:from>
    <xdr:to>
      <xdr:col>0</xdr:col>
      <xdr:colOff>0</xdr:colOff>
      <xdr:row>105</xdr:row>
      <xdr:rowOff>123825</xdr:rowOff>
    </xdr:to>
    <xdr:pic>
      <xdr:nvPicPr>
        <xdr:cNvPr id="557" name="Picture 557" descr="Niger"/>
        <xdr:cNvPicPr preferRelativeResize="1">
          <a:picLocks noChangeAspect="1"/>
        </xdr:cNvPicPr>
      </xdr:nvPicPr>
      <xdr:blipFill>
        <a:blip r:link="rId159"/>
        <a:stretch>
          <a:fillRect/>
        </a:stretch>
      </xdr:blipFill>
      <xdr:spPr>
        <a:xfrm>
          <a:off x="0" y="17173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0</xdr:colOff>
      <xdr:row>103</xdr:row>
      <xdr:rowOff>123825</xdr:rowOff>
    </xdr:to>
    <xdr:pic>
      <xdr:nvPicPr>
        <xdr:cNvPr id="558" name="Picture 558" descr="Cambodia"/>
        <xdr:cNvPicPr preferRelativeResize="1">
          <a:picLocks noChangeAspect="1"/>
        </xdr:cNvPicPr>
      </xdr:nvPicPr>
      <xdr:blipFill>
        <a:blip r:link="rId160"/>
        <a:stretch>
          <a:fillRect/>
        </a:stretch>
      </xdr:blipFill>
      <xdr:spPr>
        <a:xfrm>
          <a:off x="0" y="16849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106</xdr:row>
      <xdr:rowOff>0</xdr:rowOff>
    </xdr:from>
    <xdr:to>
      <xdr:col>0</xdr:col>
      <xdr:colOff>0</xdr:colOff>
      <xdr:row>106</xdr:row>
      <xdr:rowOff>123825</xdr:rowOff>
    </xdr:to>
    <xdr:pic>
      <xdr:nvPicPr>
        <xdr:cNvPr id="559" name="Picture 559" descr="Mauritius"/>
        <xdr:cNvPicPr preferRelativeResize="1">
          <a:picLocks noChangeAspect="1"/>
        </xdr:cNvPicPr>
      </xdr:nvPicPr>
      <xdr:blipFill>
        <a:blip r:link="rId161"/>
        <a:stretch>
          <a:fillRect/>
        </a:stretch>
      </xdr:blipFill>
      <xdr:spPr>
        <a:xfrm>
          <a:off x="0" y="17335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107</xdr:row>
      <xdr:rowOff>123825</xdr:rowOff>
    </xdr:to>
    <xdr:pic>
      <xdr:nvPicPr>
        <xdr:cNvPr id="560" name="Picture 560" descr="Somalia"/>
        <xdr:cNvPicPr preferRelativeResize="1">
          <a:picLocks noChangeAspect="1"/>
        </xdr:cNvPicPr>
      </xdr:nvPicPr>
      <xdr:blipFill>
        <a:blip r:link="rId162"/>
        <a:stretch>
          <a:fillRect/>
        </a:stretch>
      </xdr:blipFill>
      <xdr:spPr>
        <a:xfrm>
          <a:off x="0" y="17497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123825</xdr:rowOff>
    </xdr:to>
    <xdr:pic>
      <xdr:nvPicPr>
        <xdr:cNvPr id="561" name="Picture 561" descr="Central African Republic"/>
        <xdr:cNvPicPr preferRelativeResize="1">
          <a:picLocks noChangeAspect="1"/>
        </xdr:cNvPicPr>
      </xdr:nvPicPr>
      <xdr:blipFill>
        <a:blip r:link="rId163"/>
        <a:stretch>
          <a:fillRect/>
        </a:stretch>
      </xdr:blipFill>
      <xdr:spPr>
        <a:xfrm>
          <a:off x="0" y="12153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108</xdr:row>
      <xdr:rowOff>0</xdr:rowOff>
    </xdr:from>
    <xdr:to>
      <xdr:col>0</xdr:col>
      <xdr:colOff>0</xdr:colOff>
      <xdr:row>108</xdr:row>
      <xdr:rowOff>123825</xdr:rowOff>
    </xdr:to>
    <xdr:pic>
      <xdr:nvPicPr>
        <xdr:cNvPr id="562" name="Picture 562" descr="Liechtenstein"/>
        <xdr:cNvPicPr preferRelativeResize="1">
          <a:picLocks noChangeAspect="1"/>
        </xdr:cNvPicPr>
      </xdr:nvPicPr>
      <xdr:blipFill>
        <a:blip r:link="rId164"/>
        <a:stretch>
          <a:fillRect/>
        </a:stretch>
      </xdr:blipFill>
      <xdr:spPr>
        <a:xfrm>
          <a:off x="0" y="17659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0</xdr:colOff>
      <xdr:row>109</xdr:row>
      <xdr:rowOff>123825</xdr:rowOff>
    </xdr:to>
    <xdr:pic>
      <xdr:nvPicPr>
        <xdr:cNvPr id="563" name="Picture 563" descr="Vanuatu"/>
        <xdr:cNvPicPr preferRelativeResize="1">
          <a:picLocks noChangeAspect="1"/>
        </xdr:cNvPicPr>
      </xdr:nvPicPr>
      <xdr:blipFill>
        <a:blip r:link="rId165"/>
        <a:stretch>
          <a:fillRect/>
        </a:stretch>
      </xdr:blipFill>
      <xdr:spPr>
        <a:xfrm>
          <a:off x="0" y="17821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0</xdr:colOff>
      <xdr:row>110</xdr:row>
      <xdr:rowOff>123825</xdr:rowOff>
    </xdr:to>
    <xdr:pic>
      <xdr:nvPicPr>
        <xdr:cNvPr id="564" name="Picture 564" descr="St. Kitts and Nevis"/>
        <xdr:cNvPicPr preferRelativeResize="1">
          <a:picLocks noChangeAspect="1"/>
        </xdr:cNvPicPr>
      </xdr:nvPicPr>
      <xdr:blipFill>
        <a:blip r:link="rId166"/>
        <a:stretch>
          <a:fillRect/>
        </a:stretch>
      </xdr:blipFill>
      <xdr:spPr>
        <a:xfrm>
          <a:off x="0" y="17983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95</xdr:row>
      <xdr:rowOff>123825</xdr:rowOff>
    </xdr:to>
    <xdr:pic>
      <xdr:nvPicPr>
        <xdr:cNvPr id="565" name="Picture 565" descr="Malaysia"/>
        <xdr:cNvPicPr preferRelativeResize="1">
          <a:picLocks noChangeAspect="1"/>
        </xdr:cNvPicPr>
      </xdr:nvPicPr>
      <xdr:blipFill>
        <a:blip r:link="rId167"/>
        <a:stretch>
          <a:fillRect/>
        </a:stretch>
      </xdr:blipFill>
      <xdr:spPr>
        <a:xfrm>
          <a:off x="0" y="15554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0</xdr:colOff>
      <xdr:row>111</xdr:row>
      <xdr:rowOff>123825</xdr:rowOff>
    </xdr:to>
    <xdr:pic>
      <xdr:nvPicPr>
        <xdr:cNvPr id="566" name="Picture 566" descr="Nicaragua"/>
        <xdr:cNvPicPr preferRelativeResize="1">
          <a:picLocks noChangeAspect="1"/>
        </xdr:cNvPicPr>
      </xdr:nvPicPr>
      <xdr:blipFill>
        <a:blip r:link="rId168"/>
        <a:stretch>
          <a:fillRect/>
        </a:stretch>
      </xdr:blipFill>
      <xdr:spPr>
        <a:xfrm>
          <a:off x="0" y="18145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123825</xdr:rowOff>
    </xdr:to>
    <xdr:pic>
      <xdr:nvPicPr>
        <xdr:cNvPr id="567" name="Picture 567" descr="Puerto Rico"/>
        <xdr:cNvPicPr preferRelativeResize="1">
          <a:picLocks noChangeAspect="1"/>
        </xdr:cNvPicPr>
      </xdr:nvPicPr>
      <xdr:blipFill>
        <a:blip r:link="rId169"/>
        <a:stretch>
          <a:fillRect/>
        </a:stretch>
      </xdr:blipFill>
      <xdr:spPr>
        <a:xfrm>
          <a:off x="0" y="18307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0</xdr:colOff>
      <xdr:row>113</xdr:row>
      <xdr:rowOff>123825</xdr:rowOff>
    </xdr:to>
    <xdr:pic>
      <xdr:nvPicPr>
        <xdr:cNvPr id="568" name="Picture 568" descr="Philippines"/>
        <xdr:cNvPicPr preferRelativeResize="1">
          <a:picLocks noChangeAspect="1"/>
        </xdr:cNvPicPr>
      </xdr:nvPicPr>
      <xdr:blipFill>
        <a:blip r:link="rId170"/>
        <a:stretch>
          <a:fillRect/>
        </a:stretch>
      </xdr:blipFill>
      <xdr:spPr>
        <a:xfrm>
          <a:off x="0" y="18468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114</xdr:row>
      <xdr:rowOff>0</xdr:rowOff>
    </xdr:from>
    <xdr:to>
      <xdr:col>0</xdr:col>
      <xdr:colOff>0</xdr:colOff>
      <xdr:row>114</xdr:row>
      <xdr:rowOff>123825</xdr:rowOff>
    </xdr:to>
    <xdr:pic>
      <xdr:nvPicPr>
        <xdr:cNvPr id="569" name="Picture 569" descr="St. Vincent and the Grenadines"/>
        <xdr:cNvPicPr preferRelativeResize="1">
          <a:picLocks noChangeAspect="1"/>
        </xdr:cNvPicPr>
      </xdr:nvPicPr>
      <xdr:blipFill>
        <a:blip r:link="rId171"/>
        <a:stretch>
          <a:fillRect/>
        </a:stretch>
      </xdr:blipFill>
      <xdr:spPr>
        <a:xfrm>
          <a:off x="0" y="18630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115</xdr:row>
      <xdr:rowOff>0</xdr:rowOff>
    </xdr:from>
    <xdr:to>
      <xdr:col>0</xdr:col>
      <xdr:colOff>0</xdr:colOff>
      <xdr:row>115</xdr:row>
      <xdr:rowOff>123825</xdr:rowOff>
    </xdr:to>
    <xdr:pic>
      <xdr:nvPicPr>
        <xdr:cNvPr id="570" name="Picture 570" descr="Netherlands Antilles"/>
        <xdr:cNvPicPr preferRelativeResize="1">
          <a:picLocks noChangeAspect="1"/>
        </xdr:cNvPicPr>
      </xdr:nvPicPr>
      <xdr:blipFill>
        <a:blip r:link="rId172"/>
        <a:stretch>
          <a:fillRect/>
        </a:stretch>
      </xdr:blipFill>
      <xdr:spPr>
        <a:xfrm>
          <a:off x="0" y="18792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0</xdr:col>
      <xdr:colOff>0</xdr:colOff>
      <xdr:row>116</xdr:row>
      <xdr:rowOff>123825</xdr:rowOff>
    </xdr:to>
    <xdr:pic>
      <xdr:nvPicPr>
        <xdr:cNvPr id="571" name="Picture 571" descr="Solomon Islands"/>
        <xdr:cNvPicPr preferRelativeResize="1">
          <a:picLocks noChangeAspect="1"/>
        </xdr:cNvPicPr>
      </xdr:nvPicPr>
      <xdr:blipFill>
        <a:blip r:link="rId173"/>
        <a:stretch>
          <a:fillRect/>
        </a:stretch>
      </xdr:blipFill>
      <xdr:spPr>
        <a:xfrm>
          <a:off x="0" y="18954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117</xdr:row>
      <xdr:rowOff>0</xdr:rowOff>
    </xdr:from>
    <xdr:to>
      <xdr:col>0</xdr:col>
      <xdr:colOff>0</xdr:colOff>
      <xdr:row>117</xdr:row>
      <xdr:rowOff>123825</xdr:rowOff>
    </xdr:to>
    <xdr:pic>
      <xdr:nvPicPr>
        <xdr:cNvPr id="572" name="Picture 572" descr="Palestine"/>
        <xdr:cNvPicPr preferRelativeResize="1">
          <a:picLocks noChangeAspect="1"/>
        </xdr:cNvPicPr>
      </xdr:nvPicPr>
      <xdr:blipFill>
        <a:blip r:link="rId174"/>
        <a:stretch>
          <a:fillRect/>
        </a:stretch>
      </xdr:blipFill>
      <xdr:spPr>
        <a:xfrm>
          <a:off x="0" y="19116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118</xdr:row>
      <xdr:rowOff>123825</xdr:rowOff>
    </xdr:to>
    <xdr:pic>
      <xdr:nvPicPr>
        <xdr:cNvPr id="573" name="Picture 573" descr="Turks and Caicos Islands"/>
        <xdr:cNvPicPr preferRelativeResize="1">
          <a:picLocks noChangeAspect="1"/>
        </xdr:cNvPicPr>
      </xdr:nvPicPr>
      <xdr:blipFill>
        <a:blip r:link="rId175"/>
        <a:stretch>
          <a:fillRect/>
        </a:stretch>
      </xdr:blipFill>
      <xdr:spPr>
        <a:xfrm>
          <a:off x="0" y="19278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</xdr:row>
      <xdr:rowOff>0</xdr:rowOff>
    </xdr:from>
    <xdr:to>
      <xdr:col>0</xdr:col>
      <xdr:colOff>0</xdr:colOff>
      <xdr:row>119</xdr:row>
      <xdr:rowOff>123825</xdr:rowOff>
    </xdr:to>
    <xdr:pic>
      <xdr:nvPicPr>
        <xdr:cNvPr id="574" name="Picture 574" descr="Seychelles"/>
        <xdr:cNvPicPr preferRelativeResize="1">
          <a:picLocks noChangeAspect="1"/>
        </xdr:cNvPicPr>
      </xdr:nvPicPr>
      <xdr:blipFill>
        <a:blip r:link="rId176"/>
        <a:stretch>
          <a:fillRect/>
        </a:stretch>
      </xdr:blipFill>
      <xdr:spPr>
        <a:xfrm>
          <a:off x="0" y="19440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0</xdr:col>
      <xdr:colOff>0</xdr:colOff>
      <xdr:row>120</xdr:row>
      <xdr:rowOff>123825</xdr:rowOff>
    </xdr:to>
    <xdr:pic>
      <xdr:nvPicPr>
        <xdr:cNvPr id="575" name="Picture 575" descr="Comoros"/>
        <xdr:cNvPicPr preferRelativeResize="1">
          <a:picLocks noChangeAspect="1"/>
        </xdr:cNvPicPr>
      </xdr:nvPicPr>
      <xdr:blipFill>
        <a:blip r:link="rId177"/>
        <a:stretch>
          <a:fillRect/>
        </a:stretch>
      </xdr:blipFill>
      <xdr:spPr>
        <a:xfrm>
          <a:off x="0" y="19602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121</xdr:row>
      <xdr:rowOff>0</xdr:rowOff>
    </xdr:from>
    <xdr:to>
      <xdr:col>0</xdr:col>
      <xdr:colOff>0</xdr:colOff>
      <xdr:row>121</xdr:row>
      <xdr:rowOff>123825</xdr:rowOff>
    </xdr:to>
    <xdr:pic>
      <xdr:nvPicPr>
        <xdr:cNvPr id="576" name="Picture 576" descr="Bahamas"/>
        <xdr:cNvPicPr preferRelativeResize="1">
          <a:picLocks noChangeAspect="1"/>
        </xdr:cNvPicPr>
      </xdr:nvPicPr>
      <xdr:blipFill>
        <a:blip r:link="rId178"/>
        <a:stretch>
          <a:fillRect/>
        </a:stretch>
      </xdr:blipFill>
      <xdr:spPr>
        <a:xfrm>
          <a:off x="0" y="19764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122</xdr:row>
      <xdr:rowOff>123825</xdr:rowOff>
    </xdr:to>
    <xdr:pic>
      <xdr:nvPicPr>
        <xdr:cNvPr id="577" name="Picture 577" descr="Cayman Islands"/>
        <xdr:cNvPicPr preferRelativeResize="1">
          <a:picLocks noChangeAspect="1"/>
        </xdr:cNvPicPr>
      </xdr:nvPicPr>
      <xdr:blipFill>
        <a:blip r:link="rId179"/>
        <a:stretch>
          <a:fillRect/>
        </a:stretch>
      </xdr:blipFill>
      <xdr:spPr>
        <a:xfrm>
          <a:off x="0" y="19926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0</xdr:colOff>
      <xdr:row>123</xdr:row>
      <xdr:rowOff>123825</xdr:rowOff>
    </xdr:to>
    <xdr:pic>
      <xdr:nvPicPr>
        <xdr:cNvPr id="578" name="Picture 578" descr="Dominica"/>
        <xdr:cNvPicPr preferRelativeResize="1">
          <a:picLocks noChangeAspect="1"/>
        </xdr:cNvPicPr>
      </xdr:nvPicPr>
      <xdr:blipFill>
        <a:blip r:link="rId180"/>
        <a:stretch>
          <a:fillRect/>
        </a:stretch>
      </xdr:blipFill>
      <xdr:spPr>
        <a:xfrm>
          <a:off x="0" y="20088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124</xdr:row>
      <xdr:rowOff>0</xdr:rowOff>
    </xdr:from>
    <xdr:to>
      <xdr:col>0</xdr:col>
      <xdr:colOff>0</xdr:colOff>
      <xdr:row>124</xdr:row>
      <xdr:rowOff>123825</xdr:rowOff>
    </xdr:to>
    <xdr:pic>
      <xdr:nvPicPr>
        <xdr:cNvPr id="579" name="Picture 579" descr="Andorra"/>
        <xdr:cNvPicPr preferRelativeResize="1">
          <a:picLocks noChangeAspect="1"/>
        </xdr:cNvPicPr>
      </xdr:nvPicPr>
      <xdr:blipFill>
        <a:blip r:link="rId181"/>
        <a:stretch>
          <a:fillRect/>
        </a:stretch>
      </xdr:blipFill>
      <xdr:spPr>
        <a:xfrm>
          <a:off x="0" y="20250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125</xdr:row>
      <xdr:rowOff>0</xdr:rowOff>
    </xdr:from>
    <xdr:to>
      <xdr:col>0</xdr:col>
      <xdr:colOff>0</xdr:colOff>
      <xdr:row>125</xdr:row>
      <xdr:rowOff>123825</xdr:rowOff>
    </xdr:to>
    <xdr:pic>
      <xdr:nvPicPr>
        <xdr:cNvPr id="580" name="Picture 580" descr="Samoa"/>
        <xdr:cNvPicPr preferRelativeResize="1">
          <a:picLocks noChangeAspect="1"/>
        </xdr:cNvPicPr>
      </xdr:nvPicPr>
      <xdr:blipFill>
        <a:blip r:link="rId182"/>
        <a:stretch>
          <a:fillRect/>
        </a:stretch>
      </xdr:blipFill>
      <xdr:spPr>
        <a:xfrm>
          <a:off x="0" y="20412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127</xdr:row>
      <xdr:rowOff>123825</xdr:rowOff>
    </xdr:to>
    <xdr:pic>
      <xdr:nvPicPr>
        <xdr:cNvPr id="581" name="Picture 581" descr="Guam"/>
        <xdr:cNvPicPr preferRelativeResize="1">
          <a:picLocks noChangeAspect="1"/>
        </xdr:cNvPicPr>
      </xdr:nvPicPr>
      <xdr:blipFill>
        <a:blip r:link="rId183"/>
        <a:stretch>
          <a:fillRect/>
        </a:stretch>
      </xdr:blipFill>
      <xdr:spPr>
        <a:xfrm>
          <a:off x="0" y="20735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123825</xdr:rowOff>
    </xdr:to>
    <xdr:pic>
      <xdr:nvPicPr>
        <xdr:cNvPr id="582" name="Picture 582" descr="Cook Islands"/>
        <xdr:cNvPicPr preferRelativeResize="1">
          <a:picLocks noChangeAspect="1"/>
        </xdr:cNvPicPr>
      </xdr:nvPicPr>
      <xdr:blipFill>
        <a:blip r:link="rId184"/>
        <a:stretch>
          <a:fillRect/>
        </a:stretch>
      </xdr:blipFill>
      <xdr:spPr>
        <a:xfrm>
          <a:off x="0" y="20897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</xdr:row>
      <xdr:rowOff>0</xdr:rowOff>
    </xdr:from>
    <xdr:to>
      <xdr:col>0</xdr:col>
      <xdr:colOff>0</xdr:colOff>
      <xdr:row>129</xdr:row>
      <xdr:rowOff>123825</xdr:rowOff>
    </xdr:to>
    <xdr:pic>
      <xdr:nvPicPr>
        <xdr:cNvPr id="583" name="Picture 583" descr="Belize"/>
        <xdr:cNvPicPr preferRelativeResize="1">
          <a:picLocks noChangeAspect="1"/>
        </xdr:cNvPicPr>
      </xdr:nvPicPr>
      <xdr:blipFill>
        <a:blip r:link="rId185"/>
        <a:stretch>
          <a:fillRect/>
        </a:stretch>
      </xdr:blipFill>
      <xdr:spPr>
        <a:xfrm>
          <a:off x="0" y="21059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130</xdr:row>
      <xdr:rowOff>123825</xdr:rowOff>
    </xdr:to>
    <xdr:pic>
      <xdr:nvPicPr>
        <xdr:cNvPr id="584" name="Picture 584" descr="St. Lucia"/>
        <xdr:cNvPicPr preferRelativeResize="1">
          <a:picLocks noChangeAspect="1"/>
        </xdr:cNvPicPr>
      </xdr:nvPicPr>
      <xdr:blipFill>
        <a:blip r:link="rId186"/>
        <a:stretch>
          <a:fillRect/>
        </a:stretch>
      </xdr:blipFill>
      <xdr:spPr>
        <a:xfrm>
          <a:off x="0" y="21221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131</xdr:row>
      <xdr:rowOff>0</xdr:rowOff>
    </xdr:from>
    <xdr:to>
      <xdr:col>0</xdr:col>
      <xdr:colOff>0</xdr:colOff>
      <xdr:row>131</xdr:row>
      <xdr:rowOff>123825</xdr:rowOff>
    </xdr:to>
    <xdr:pic>
      <xdr:nvPicPr>
        <xdr:cNvPr id="585" name="Picture 585" descr="Macau"/>
        <xdr:cNvPicPr preferRelativeResize="1">
          <a:picLocks noChangeAspect="1"/>
        </xdr:cNvPicPr>
      </xdr:nvPicPr>
      <xdr:blipFill>
        <a:blip r:link="rId187"/>
        <a:stretch>
          <a:fillRect/>
        </a:stretch>
      </xdr:blipFill>
      <xdr:spPr>
        <a:xfrm>
          <a:off x="0" y="21383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0</xdr:colOff>
      <xdr:row>132</xdr:row>
      <xdr:rowOff>123825</xdr:rowOff>
    </xdr:to>
    <xdr:pic>
      <xdr:nvPicPr>
        <xdr:cNvPr id="586" name="Picture 586" descr="Tonga"/>
        <xdr:cNvPicPr preferRelativeResize="1">
          <a:picLocks noChangeAspect="1"/>
        </xdr:cNvPicPr>
      </xdr:nvPicPr>
      <xdr:blipFill>
        <a:blip r:link="rId188"/>
        <a:stretch>
          <a:fillRect/>
        </a:stretch>
      </xdr:blipFill>
      <xdr:spPr>
        <a:xfrm>
          <a:off x="0" y="21545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0</xdr:colOff>
      <xdr:row>133</xdr:row>
      <xdr:rowOff>123825</xdr:rowOff>
    </xdr:to>
    <xdr:pic>
      <xdr:nvPicPr>
        <xdr:cNvPr id="587" name="Picture 587" descr="Dominican Republic"/>
        <xdr:cNvPicPr preferRelativeResize="1">
          <a:picLocks noChangeAspect="1"/>
        </xdr:cNvPicPr>
      </xdr:nvPicPr>
      <xdr:blipFill>
        <a:blip r:link="rId189"/>
        <a:stretch>
          <a:fillRect/>
        </a:stretch>
      </xdr:blipFill>
      <xdr:spPr>
        <a:xfrm>
          <a:off x="0" y="21707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0</xdr:colOff>
      <xdr:row>134</xdr:row>
      <xdr:rowOff>123825</xdr:rowOff>
    </xdr:to>
    <xdr:pic>
      <xdr:nvPicPr>
        <xdr:cNvPr id="588" name="Picture 588" descr="Brunei Darussalam"/>
        <xdr:cNvPicPr preferRelativeResize="1">
          <a:picLocks noChangeAspect="1"/>
        </xdr:cNvPicPr>
      </xdr:nvPicPr>
      <xdr:blipFill>
        <a:blip r:link="rId190"/>
        <a:stretch>
          <a:fillRect/>
        </a:stretch>
      </xdr:blipFill>
      <xdr:spPr>
        <a:xfrm>
          <a:off x="0" y="21869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0</xdr:colOff>
      <xdr:row>135</xdr:row>
      <xdr:rowOff>123825</xdr:rowOff>
    </xdr:to>
    <xdr:pic>
      <xdr:nvPicPr>
        <xdr:cNvPr id="589" name="Picture 589" descr="British Virgin Islands"/>
        <xdr:cNvPicPr preferRelativeResize="1">
          <a:picLocks noChangeAspect="1"/>
        </xdr:cNvPicPr>
      </xdr:nvPicPr>
      <xdr:blipFill>
        <a:blip r:link="rId191"/>
        <a:stretch>
          <a:fillRect/>
        </a:stretch>
      </xdr:blipFill>
      <xdr:spPr>
        <a:xfrm>
          <a:off x="0" y="22031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136</xdr:row>
      <xdr:rowOff>0</xdr:rowOff>
    </xdr:from>
    <xdr:to>
      <xdr:col>0</xdr:col>
      <xdr:colOff>0</xdr:colOff>
      <xdr:row>136</xdr:row>
      <xdr:rowOff>123825</xdr:rowOff>
    </xdr:to>
    <xdr:pic>
      <xdr:nvPicPr>
        <xdr:cNvPr id="590" name="Picture 590" descr="Djibouti"/>
        <xdr:cNvPicPr preferRelativeResize="1">
          <a:picLocks noChangeAspect="1"/>
        </xdr:cNvPicPr>
      </xdr:nvPicPr>
      <xdr:blipFill>
        <a:blip r:link="rId192"/>
        <a:stretch>
          <a:fillRect/>
        </a:stretch>
      </xdr:blipFill>
      <xdr:spPr>
        <a:xfrm>
          <a:off x="0" y="22193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137</xdr:row>
      <xdr:rowOff>0</xdr:rowOff>
    </xdr:from>
    <xdr:to>
      <xdr:col>0</xdr:col>
      <xdr:colOff>0</xdr:colOff>
      <xdr:row>137</xdr:row>
      <xdr:rowOff>123825</xdr:rowOff>
    </xdr:to>
    <xdr:pic>
      <xdr:nvPicPr>
        <xdr:cNvPr id="591" name="Picture 591" descr="Afghanistan"/>
        <xdr:cNvPicPr preferRelativeResize="1">
          <a:picLocks noChangeAspect="1"/>
        </xdr:cNvPicPr>
      </xdr:nvPicPr>
      <xdr:blipFill>
        <a:blip r:link="rId193"/>
        <a:stretch>
          <a:fillRect/>
        </a:stretch>
      </xdr:blipFill>
      <xdr:spPr>
        <a:xfrm>
          <a:off x="0" y="22355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0</xdr:colOff>
      <xdr:row>138</xdr:row>
      <xdr:rowOff>123825</xdr:rowOff>
    </xdr:to>
    <xdr:pic>
      <xdr:nvPicPr>
        <xdr:cNvPr id="592" name="Picture 592" descr="Tahiti"/>
        <xdr:cNvPicPr preferRelativeResize="1">
          <a:picLocks noChangeAspect="1"/>
        </xdr:cNvPicPr>
      </xdr:nvPicPr>
      <xdr:blipFill>
        <a:blip r:link="rId194"/>
        <a:stretch>
          <a:fillRect/>
        </a:stretch>
      </xdr:blipFill>
      <xdr:spPr>
        <a:xfrm>
          <a:off x="0" y="22517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139</xdr:row>
      <xdr:rowOff>0</xdr:rowOff>
    </xdr:from>
    <xdr:to>
      <xdr:col>0</xdr:col>
      <xdr:colOff>0</xdr:colOff>
      <xdr:row>139</xdr:row>
      <xdr:rowOff>123825</xdr:rowOff>
    </xdr:to>
    <xdr:pic>
      <xdr:nvPicPr>
        <xdr:cNvPr id="593" name="Picture 593" descr="Bhutan"/>
        <xdr:cNvPicPr preferRelativeResize="1">
          <a:picLocks noChangeAspect="1"/>
        </xdr:cNvPicPr>
      </xdr:nvPicPr>
      <xdr:blipFill>
        <a:blip r:link="rId195"/>
        <a:stretch>
          <a:fillRect/>
        </a:stretch>
      </xdr:blipFill>
      <xdr:spPr>
        <a:xfrm>
          <a:off x="0" y="22679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0</xdr:colOff>
      <xdr:row>140</xdr:row>
      <xdr:rowOff>123825</xdr:rowOff>
    </xdr:to>
    <xdr:pic>
      <xdr:nvPicPr>
        <xdr:cNvPr id="594" name="Picture 594" descr="Aruba"/>
        <xdr:cNvPicPr preferRelativeResize="1">
          <a:picLocks noChangeAspect="1"/>
        </xdr:cNvPicPr>
      </xdr:nvPicPr>
      <xdr:blipFill>
        <a:blip r:link="rId196"/>
        <a:stretch>
          <a:fillRect/>
        </a:stretch>
      </xdr:blipFill>
      <xdr:spPr>
        <a:xfrm>
          <a:off x="0" y="22840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0</xdr:colOff>
      <xdr:row>126</xdr:row>
      <xdr:rowOff>123825</xdr:rowOff>
    </xdr:to>
    <xdr:pic>
      <xdr:nvPicPr>
        <xdr:cNvPr id="595" name="Picture 595" descr="San Marino"/>
        <xdr:cNvPicPr preferRelativeResize="1">
          <a:picLocks noChangeAspect="1"/>
        </xdr:cNvPicPr>
      </xdr:nvPicPr>
      <xdr:blipFill>
        <a:blip r:link="rId197"/>
        <a:stretch>
          <a:fillRect/>
        </a:stretch>
      </xdr:blipFill>
      <xdr:spPr>
        <a:xfrm>
          <a:off x="0" y="20574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0</xdr:col>
      <xdr:colOff>0</xdr:colOff>
      <xdr:row>141</xdr:row>
      <xdr:rowOff>123825</xdr:rowOff>
    </xdr:to>
    <xdr:pic>
      <xdr:nvPicPr>
        <xdr:cNvPr id="596" name="Picture 596" descr="US Virgin Islands"/>
        <xdr:cNvPicPr preferRelativeResize="1">
          <a:picLocks noChangeAspect="1"/>
        </xdr:cNvPicPr>
      </xdr:nvPicPr>
      <xdr:blipFill>
        <a:blip r:link="rId198"/>
        <a:stretch>
          <a:fillRect/>
        </a:stretch>
      </xdr:blipFill>
      <xdr:spPr>
        <a:xfrm>
          <a:off x="0" y="23002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142</xdr:row>
      <xdr:rowOff>0</xdr:rowOff>
    </xdr:from>
    <xdr:to>
      <xdr:col>0</xdr:col>
      <xdr:colOff>0</xdr:colOff>
      <xdr:row>142</xdr:row>
      <xdr:rowOff>123825</xdr:rowOff>
    </xdr:to>
    <xdr:pic>
      <xdr:nvPicPr>
        <xdr:cNvPr id="597" name="Picture 597" descr="Timor-Leste"/>
        <xdr:cNvPicPr preferRelativeResize="1">
          <a:picLocks noChangeAspect="1"/>
        </xdr:cNvPicPr>
      </xdr:nvPicPr>
      <xdr:blipFill>
        <a:blip r:link="rId199"/>
        <a:stretch>
          <a:fillRect/>
        </a:stretch>
      </xdr:blipFill>
      <xdr:spPr>
        <a:xfrm>
          <a:off x="0" y="23164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598" name="Picture 598" descr="Camero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599" name="Picture 599" descr="Niger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0" name="Picture 600" descr="Spai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1" name="Picture 601" descr="Brazil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2" name="Picture 602" descr="Argentina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3" name="Picture 603" descr="Ethiopia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4" name="Picture 604" descr="Zambia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5" name="Picture 605" descr="Ghana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6" name="Picture 606" descr="Poland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7" name="Picture 607" descr="Uruguay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8" name="Picture 608" descr="Egypt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09" name="Picture 609" descr="Ecuador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0" name="Picture 610" descr="Italy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1" name="Picture 611" descr="Saudi Arabia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2" name="Picture 612" descr="Czech Republic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3" name="Picture 613" descr="Germany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4" name="Picture 614" descr="Algeria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5" name="Picture 615" descr="USA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6" name="Picture 616" descr="Australia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7" name="Picture 617" descr="Kenya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8" name="Picture 618" descr="Senegal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19" name="Picture 619" descr="Côte d'Ivoire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0" name="Picture 620" descr="Colombia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1" name="Picture 621" descr="Ukraine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2" name="Picture 622" descr="Tunisia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3" name="Picture 623" descr="Morocco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4" name="Picture 624" descr="China PR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5" name="Picture 625" descr="France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6" name="Picture 626" descr="Angola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7" name="Picture 627" descr="Russia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8" name="Picture 628" descr="Chile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29" name="Picture 629" descr="Slovakia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0" name="Picture 630" descr="Japan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1" name="Picture 631" descr="Gabon"/>
        <xdr:cNvPicPr preferRelativeResize="1">
          <a:picLocks noChangeAspect="1"/>
        </xdr:cNvPicPr>
      </xdr:nvPicPr>
      <xdr:blipFill>
        <a:blip r:link="rId3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2" name="Picture 632" descr="Costa Rica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3" name="Picture 633" descr="Lithuania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4" name="Picture 634" descr="Paraguay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5" name="Picture 635" descr="Mexico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6" name="Picture 636" descr="Romania"/>
        <xdr:cNvPicPr preferRelativeResize="1">
          <a:picLocks noChangeAspect="1"/>
        </xdr:cNvPicPr>
      </xdr:nvPicPr>
      <xdr:blipFill>
        <a:blip r:link="rId3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7" name="Picture 637" descr="Venezuela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8" name="Picture 638" descr="Honduras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39" name="Picture 639" descr="Montenegro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0" name="Picture 640" descr="Korea Republic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1" name="Picture 641" descr="Burkina Faso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2" name="Picture 642" descr="Latvia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3" name="Picture 643" descr="Belarus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4" name="Picture 644" descr="Norway"/>
        <xdr:cNvPicPr preferRelativeResize="1">
          <a:picLocks noChangeAspect="1"/>
        </xdr:cNvPicPr>
      </xdr:nvPicPr>
      <xdr:blipFill>
        <a:blip r:link="rId4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5" name="Picture 645" descr="Estonia"/>
        <xdr:cNvPicPr preferRelativeResize="1">
          <a:picLocks noChangeAspect="1"/>
        </xdr:cNvPicPr>
      </xdr:nvPicPr>
      <xdr:blipFill>
        <a:blip r:link="rId4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6" name="Picture 646" descr="Netherlands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7" name="Picture 647" descr="England"/>
        <xdr:cNvPicPr preferRelativeResize="1">
          <a:picLocks noChangeAspect="1"/>
        </xdr:cNvPicPr>
      </xdr:nvPicPr>
      <xdr:blipFill>
        <a:blip r:link="rId5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8" name="Picture 648" descr="Serbia"/>
        <xdr:cNvPicPr preferRelativeResize="1">
          <a:picLocks noChangeAspect="1"/>
        </xdr:cNvPicPr>
      </xdr:nvPicPr>
      <xdr:blipFill>
        <a:blip r:link="rId5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49" name="Picture 649" descr="Hungary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0" name="Picture 650" descr="Mozambique"/>
        <xdr:cNvPicPr preferRelativeResize="1">
          <a:picLocks noChangeAspect="1"/>
        </xdr:cNvPicPr>
      </xdr:nvPicPr>
      <xdr:blipFill>
        <a:blip r:link="rId5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1" name="Picture 651" descr="South Africa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2" name="Picture 652" descr="Jamaica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3" name="Picture 653" descr="New Zealand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4" name="Picture 654" descr="FYR Macedonia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5" name="Picture 655" descr="Greece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6" name="Picture 656" descr="Portugal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7" name="Picture 657" descr="Mali"/>
        <xdr:cNvPicPr preferRelativeResize="1">
          <a:picLocks noChangeAspect="1"/>
        </xdr:cNvPicPr>
      </xdr:nvPicPr>
      <xdr:blipFill>
        <a:blip r:link="rId6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8" name="Picture 658" descr="Bosnia-Herzegovina"/>
        <xdr:cNvPicPr preferRelativeResize="1">
          <a:picLocks noChangeAspect="1"/>
        </xdr:cNvPicPr>
      </xdr:nvPicPr>
      <xdr:blipFill>
        <a:blip r:link="rId6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59" name="Picture 659" descr="Turkey"/>
        <xdr:cNvPicPr preferRelativeResize="1">
          <a:picLocks noChangeAspect="1"/>
        </xdr:cNvPicPr>
      </xdr:nvPicPr>
      <xdr:blipFill>
        <a:blip r:link="rId6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0" name="Picture 660" descr="Iran"/>
        <xdr:cNvPicPr preferRelativeResize="1">
          <a:picLocks noChangeAspect="1"/>
        </xdr:cNvPicPr>
      </xdr:nvPicPr>
      <xdr:blipFill>
        <a:blip r:link="rId6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1" name="Picture 661" descr="Peru"/>
        <xdr:cNvPicPr preferRelativeResize="1">
          <a:picLocks noChangeAspect="1"/>
        </xdr:cNvPicPr>
      </xdr:nvPicPr>
      <xdr:blipFill>
        <a:blip r:link="rId6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2" name="Picture 662" descr="Sweden"/>
        <xdr:cNvPicPr preferRelativeResize="1">
          <a:picLocks noChangeAspect="1"/>
        </xdr:cNvPicPr>
      </xdr:nvPicPr>
      <xdr:blipFill>
        <a:blip r:link="rId6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3" name="Picture 663" descr="Guinea"/>
        <xdr:cNvPicPr preferRelativeResize="1">
          <a:picLocks noChangeAspect="1"/>
        </xdr:cNvPicPr>
      </xdr:nvPicPr>
      <xdr:blipFill>
        <a:blip r:link="rId6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4" name="Picture 664" descr="Uganda"/>
        <xdr:cNvPicPr preferRelativeResize="1">
          <a:picLocks noChangeAspect="1"/>
        </xdr:cNvPicPr>
      </xdr:nvPicPr>
      <xdr:blipFill>
        <a:blip r:link="rId6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5" name="Picture 665" descr="Qatar"/>
        <xdr:cNvPicPr preferRelativeResize="1">
          <a:picLocks noChangeAspect="1"/>
        </xdr:cNvPicPr>
      </xdr:nvPicPr>
      <xdr:blipFill>
        <a:blip r:link="rId6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6" name="Picture 666" descr="Kuwait"/>
        <xdr:cNvPicPr preferRelativeResize="1">
          <a:picLocks noChangeAspect="1"/>
        </xdr:cNvPicPr>
      </xdr:nvPicPr>
      <xdr:blipFill>
        <a:blip r:link="rId6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7" name="Picture 667" descr="Oman"/>
        <xdr:cNvPicPr preferRelativeResize="1">
          <a:picLocks noChangeAspect="1"/>
        </xdr:cNvPicPr>
      </xdr:nvPicPr>
      <xdr:blipFill>
        <a:blip r:link="rId7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8" name="Picture 668" descr="Albania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69" name="Picture 669" descr="Canada"/>
        <xdr:cNvPicPr preferRelativeResize="1">
          <a:picLocks noChangeAspect="1"/>
        </xdr:cNvPicPr>
      </xdr:nvPicPr>
      <xdr:blipFill>
        <a:blip r:link="rId7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0" name="Picture 670" descr="Bolivia"/>
        <xdr:cNvPicPr preferRelativeResize="1">
          <a:picLocks noChangeAspect="1"/>
        </xdr:cNvPicPr>
      </xdr:nvPicPr>
      <xdr:blipFill>
        <a:blip r:link="rId7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1" name="Picture 671" descr="Congo"/>
        <xdr:cNvPicPr preferRelativeResize="1">
          <a:picLocks noChangeAspect="1"/>
        </xdr:cNvPicPr>
      </xdr:nvPicPr>
      <xdr:blipFill>
        <a:blip r:link="rId7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2" name="Picture 672" descr="Libya"/>
        <xdr:cNvPicPr preferRelativeResize="1">
          <a:picLocks noChangeAspect="1"/>
        </xdr:cNvPicPr>
      </xdr:nvPicPr>
      <xdr:blipFill>
        <a:blip r:link="rId7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3" name="Picture 673" descr="Zimbabwe"/>
        <xdr:cNvPicPr preferRelativeResize="1">
          <a:picLocks noChangeAspect="1"/>
        </xdr:cNvPicPr>
      </xdr:nvPicPr>
      <xdr:blipFill>
        <a:blip r:link="rId7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4" name="Picture 674" descr="Slovenia"/>
        <xdr:cNvPicPr preferRelativeResize="1">
          <a:picLocks noChangeAspect="1"/>
        </xdr:cNvPicPr>
      </xdr:nvPicPr>
      <xdr:blipFill>
        <a:blip r:link="rId7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5" name="Picture 675" descr="Croatia"/>
        <xdr:cNvPicPr preferRelativeResize="1">
          <a:picLocks noChangeAspect="1"/>
        </xdr:cNvPicPr>
      </xdr:nvPicPr>
      <xdr:blipFill>
        <a:blip r:link="rId7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6" name="Picture 676" descr="Bulgaria"/>
        <xdr:cNvPicPr preferRelativeResize="1">
          <a:picLocks noChangeAspect="1"/>
        </xdr:cNvPicPr>
      </xdr:nvPicPr>
      <xdr:blipFill>
        <a:blip r:link="rId7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7" name="Picture 677" descr="Bahrain"/>
        <xdr:cNvPicPr preferRelativeResize="1">
          <a:picLocks noChangeAspect="1"/>
        </xdr:cNvPicPr>
      </xdr:nvPicPr>
      <xdr:blipFill>
        <a:blip r:link="rId8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8" name="Picture 678" descr="Thailand"/>
        <xdr:cNvPicPr preferRelativeResize="1">
          <a:picLocks noChangeAspect="1"/>
        </xdr:cNvPicPr>
      </xdr:nvPicPr>
      <xdr:blipFill>
        <a:blip r:link="rId8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79" name="Picture 679" descr="Gambia"/>
        <xdr:cNvPicPr preferRelativeResize="1">
          <a:picLocks noChangeAspect="1"/>
        </xdr:cNvPicPr>
      </xdr:nvPicPr>
      <xdr:blipFill>
        <a:blip r:link="rId8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0" name="Picture 680" descr="Cyprus"/>
        <xdr:cNvPicPr preferRelativeResize="1">
          <a:picLocks noChangeAspect="1"/>
        </xdr:cNvPicPr>
      </xdr:nvPicPr>
      <xdr:blipFill>
        <a:blip r:link="rId8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1" name="Picture 681" descr="Austria"/>
        <xdr:cNvPicPr preferRelativeResize="1">
          <a:picLocks noChangeAspect="1"/>
        </xdr:cNvPicPr>
      </xdr:nvPicPr>
      <xdr:blipFill>
        <a:blip r:link="rId8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2" name="Picture 682" descr="Finland"/>
        <xdr:cNvPicPr preferRelativeResize="1">
          <a:picLocks noChangeAspect="1"/>
        </xdr:cNvPicPr>
      </xdr:nvPicPr>
      <xdr:blipFill>
        <a:blip r:link="rId8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3" name="Picture 683" descr="Republic of Ireland"/>
        <xdr:cNvPicPr preferRelativeResize="1">
          <a:picLocks noChangeAspect="1"/>
        </xdr:cNvPicPr>
      </xdr:nvPicPr>
      <xdr:blipFill>
        <a:blip r:link="rId8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4" name="Picture 684" descr="Korea DPR"/>
        <xdr:cNvPicPr preferRelativeResize="1">
          <a:picLocks noChangeAspect="1"/>
        </xdr:cNvPicPr>
      </xdr:nvPicPr>
      <xdr:blipFill>
        <a:blip r:link="rId8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5" name="Picture 685" descr="Tanzania"/>
        <xdr:cNvPicPr preferRelativeResize="1">
          <a:picLocks noChangeAspect="1"/>
        </xdr:cNvPicPr>
      </xdr:nvPicPr>
      <xdr:blipFill>
        <a:blip r:link="rId8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6" name="Picture 686" descr="Vietnam"/>
        <xdr:cNvPicPr preferRelativeResize="1">
          <a:picLocks noChangeAspect="1"/>
        </xdr:cNvPicPr>
      </xdr:nvPicPr>
      <xdr:blipFill>
        <a:blip r:link="rId8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7" name="Picture 687" descr="Kazakhstan"/>
        <xdr:cNvPicPr preferRelativeResize="1">
          <a:picLocks noChangeAspect="1"/>
        </xdr:cNvPicPr>
      </xdr:nvPicPr>
      <xdr:blipFill>
        <a:blip r:link="rId9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8" name="Picture 688" descr="Laos"/>
        <xdr:cNvPicPr preferRelativeResize="1">
          <a:picLocks noChangeAspect="1"/>
        </xdr:cNvPicPr>
      </xdr:nvPicPr>
      <xdr:blipFill>
        <a:blip r:link="rId9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89" name="Picture 689" descr="Guinea-Bissau"/>
        <xdr:cNvPicPr preferRelativeResize="1">
          <a:picLocks noChangeAspect="1"/>
        </xdr:cNvPicPr>
      </xdr:nvPicPr>
      <xdr:blipFill>
        <a:blip r:link="rId9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0" name="Picture 690" descr="Switzerland"/>
        <xdr:cNvPicPr preferRelativeResize="1">
          <a:picLocks noChangeAspect="1"/>
        </xdr:cNvPicPr>
      </xdr:nvPicPr>
      <xdr:blipFill>
        <a:blip r:link="rId9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1" name="Picture 691" descr="Georgia"/>
        <xdr:cNvPicPr preferRelativeResize="1">
          <a:picLocks noChangeAspect="1"/>
        </xdr:cNvPicPr>
      </xdr:nvPicPr>
      <xdr:blipFill>
        <a:blip r:link="rId9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2" name="Picture 692" descr="Congo DR"/>
        <xdr:cNvPicPr preferRelativeResize="1">
          <a:picLocks noChangeAspect="1"/>
        </xdr:cNvPicPr>
      </xdr:nvPicPr>
      <xdr:blipFill>
        <a:blip r:link="rId9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3" name="Picture 693" descr="Jordan"/>
        <xdr:cNvPicPr preferRelativeResize="1">
          <a:picLocks noChangeAspect="1"/>
        </xdr:cNvPicPr>
      </xdr:nvPicPr>
      <xdr:blipFill>
        <a:blip r:link="rId9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4" name="Picture 694" descr="Rwanda"/>
        <xdr:cNvPicPr preferRelativeResize="1">
          <a:picLocks noChangeAspect="1"/>
        </xdr:cNvPicPr>
      </xdr:nvPicPr>
      <xdr:blipFill>
        <a:blip r:link="rId9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5" name="Picture 695" descr="Sudan"/>
        <xdr:cNvPicPr preferRelativeResize="1">
          <a:picLocks noChangeAspect="1"/>
        </xdr:cNvPicPr>
      </xdr:nvPicPr>
      <xdr:blipFill>
        <a:blip r:link="rId9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6" name="Picture 696" descr="Namibia"/>
        <xdr:cNvPicPr preferRelativeResize="1">
          <a:picLocks noChangeAspect="1"/>
        </xdr:cNvPicPr>
      </xdr:nvPicPr>
      <xdr:blipFill>
        <a:blip r:link="rId9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7" name="Picture 697" descr="United Arab Emirates"/>
        <xdr:cNvPicPr preferRelativeResize="1">
          <a:picLocks noChangeAspect="1"/>
        </xdr:cNvPicPr>
      </xdr:nvPicPr>
      <xdr:blipFill>
        <a:blip r:link="rId10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8" name="Picture 698" descr="Iraq"/>
        <xdr:cNvPicPr preferRelativeResize="1">
          <a:picLocks noChangeAspect="1"/>
        </xdr:cNvPicPr>
      </xdr:nvPicPr>
      <xdr:blipFill>
        <a:blip r:link="rId10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699" name="Picture 699" descr="Uzbekistan"/>
        <xdr:cNvPicPr preferRelativeResize="1">
          <a:picLocks noChangeAspect="1"/>
        </xdr:cNvPicPr>
      </xdr:nvPicPr>
      <xdr:blipFill>
        <a:blip r:link="rId10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0" name="Picture 700" descr="Chad"/>
        <xdr:cNvPicPr preferRelativeResize="1">
          <a:picLocks noChangeAspect="1"/>
        </xdr:cNvPicPr>
      </xdr:nvPicPr>
      <xdr:blipFill>
        <a:blip r:link="rId10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1" name="Picture 701" descr="India"/>
        <xdr:cNvPicPr preferRelativeResize="1">
          <a:picLocks noChangeAspect="1"/>
        </xdr:cNvPicPr>
      </xdr:nvPicPr>
      <xdr:blipFill>
        <a:blip r:link="rId10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2" name="Picture 702" descr="Eritrea"/>
        <xdr:cNvPicPr preferRelativeResize="1">
          <a:picLocks noChangeAspect="1"/>
        </xdr:cNvPicPr>
      </xdr:nvPicPr>
      <xdr:blipFill>
        <a:blip r:link="rId10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3" name="Picture 703" descr="Mongolia"/>
        <xdr:cNvPicPr preferRelativeResize="1">
          <a:picLocks noChangeAspect="1"/>
        </xdr:cNvPicPr>
      </xdr:nvPicPr>
      <xdr:blipFill>
        <a:blip r:link="rId10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4" name="Picture 704" descr="Sierra Leone"/>
        <xdr:cNvPicPr preferRelativeResize="1">
          <a:picLocks noChangeAspect="1"/>
        </xdr:cNvPicPr>
      </xdr:nvPicPr>
      <xdr:blipFill>
        <a:blip r:link="rId10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5" name="Picture 705" descr="Fiji"/>
        <xdr:cNvPicPr preferRelativeResize="1">
          <a:picLocks noChangeAspect="1"/>
        </xdr:cNvPicPr>
      </xdr:nvPicPr>
      <xdr:blipFill>
        <a:blip r:link="rId10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6" name="Picture 706" descr="Iceland"/>
        <xdr:cNvPicPr preferRelativeResize="1">
          <a:picLocks noChangeAspect="1"/>
        </xdr:cNvPicPr>
      </xdr:nvPicPr>
      <xdr:blipFill>
        <a:blip r:link="rId10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7" name="Picture 707" descr="Belgium"/>
        <xdr:cNvPicPr preferRelativeResize="1">
          <a:picLocks noChangeAspect="1"/>
        </xdr:cNvPicPr>
      </xdr:nvPicPr>
      <xdr:blipFill>
        <a:blip r:link="rId11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8" name="Picture 708" descr="Moldova"/>
        <xdr:cNvPicPr preferRelativeResize="1">
          <a:picLocks noChangeAspect="1"/>
        </xdr:cNvPicPr>
      </xdr:nvPicPr>
      <xdr:blipFill>
        <a:blip r:link="rId11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09" name="Picture 709" descr="Myanmar"/>
        <xdr:cNvPicPr preferRelativeResize="1">
          <a:picLocks noChangeAspect="1"/>
        </xdr:cNvPicPr>
      </xdr:nvPicPr>
      <xdr:blipFill>
        <a:blip r:link="rId11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0" name="Picture 710" descr="Suriname"/>
        <xdr:cNvPicPr preferRelativeResize="1">
          <a:picLocks noChangeAspect="1"/>
        </xdr:cNvPicPr>
      </xdr:nvPicPr>
      <xdr:blipFill>
        <a:blip r:link="rId11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1" name="Picture 711" descr="Malta"/>
        <xdr:cNvPicPr preferRelativeResize="1">
          <a:picLocks noChangeAspect="1"/>
        </xdr:cNvPicPr>
      </xdr:nvPicPr>
      <xdr:blipFill>
        <a:blip r:link="rId11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2" name="Picture 712" descr="Benin"/>
        <xdr:cNvPicPr preferRelativeResize="1">
          <a:picLocks noChangeAspect="1"/>
        </xdr:cNvPicPr>
      </xdr:nvPicPr>
      <xdr:blipFill>
        <a:blip r:link="rId11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3" name="Picture 713" descr="Denmark"/>
        <xdr:cNvPicPr preferRelativeResize="1">
          <a:picLocks noChangeAspect="1"/>
        </xdr:cNvPicPr>
      </xdr:nvPicPr>
      <xdr:blipFill>
        <a:blip r:link="rId11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4" name="Picture 714" descr="Israel"/>
        <xdr:cNvPicPr preferRelativeResize="1">
          <a:picLocks noChangeAspect="1"/>
        </xdr:cNvPicPr>
      </xdr:nvPicPr>
      <xdr:blipFill>
        <a:blip r:link="rId11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5" name="Picture 715" descr="Azerbaijan"/>
        <xdr:cNvPicPr preferRelativeResize="1">
          <a:picLocks noChangeAspect="1"/>
        </xdr:cNvPicPr>
      </xdr:nvPicPr>
      <xdr:blipFill>
        <a:blip r:link="rId11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6" name="Picture 716" descr="Armenia"/>
        <xdr:cNvPicPr preferRelativeResize="1">
          <a:picLocks noChangeAspect="1"/>
        </xdr:cNvPicPr>
      </xdr:nvPicPr>
      <xdr:blipFill>
        <a:blip r:link="rId11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7" name="Picture 717" descr="Togo"/>
        <xdr:cNvPicPr preferRelativeResize="1">
          <a:picLocks noChangeAspect="1"/>
        </xdr:cNvPicPr>
      </xdr:nvPicPr>
      <xdr:blipFill>
        <a:blip r:link="rId12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8" name="Picture 718" descr="El Salvador"/>
        <xdr:cNvPicPr preferRelativeResize="1">
          <a:picLocks noChangeAspect="1"/>
        </xdr:cNvPicPr>
      </xdr:nvPicPr>
      <xdr:blipFill>
        <a:blip r:link="rId12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19" name="Picture 719" descr="Panama"/>
        <xdr:cNvPicPr preferRelativeResize="1">
          <a:picLocks noChangeAspect="1"/>
        </xdr:cNvPicPr>
      </xdr:nvPicPr>
      <xdr:blipFill>
        <a:blip r:link="rId12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0" name="Picture 720" descr="Malawi"/>
        <xdr:cNvPicPr preferRelativeResize="1">
          <a:picLocks noChangeAspect="1"/>
        </xdr:cNvPicPr>
      </xdr:nvPicPr>
      <xdr:blipFill>
        <a:blip r:link="rId12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1" name="Picture 721" descr="Trinidad and Tobago"/>
        <xdr:cNvPicPr preferRelativeResize="1">
          <a:picLocks noChangeAspect="1"/>
        </xdr:cNvPicPr>
      </xdr:nvPicPr>
      <xdr:blipFill>
        <a:blip r:link="rId12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2" name="Picture 722" descr="Haiti"/>
        <xdr:cNvPicPr preferRelativeResize="1">
          <a:picLocks noChangeAspect="1"/>
        </xdr:cNvPicPr>
      </xdr:nvPicPr>
      <xdr:blipFill>
        <a:blip r:link="rId12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3" name="Picture 723" descr="Syria"/>
        <xdr:cNvPicPr preferRelativeResize="1">
          <a:picLocks noChangeAspect="1"/>
        </xdr:cNvPicPr>
      </xdr:nvPicPr>
      <xdr:blipFill>
        <a:blip r:link="rId12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4" name="Picture 724" descr="Cape Verde Islands"/>
        <xdr:cNvPicPr preferRelativeResize="1">
          <a:picLocks noChangeAspect="1"/>
        </xdr:cNvPicPr>
      </xdr:nvPicPr>
      <xdr:blipFill>
        <a:blip r:link="rId12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5" name="Picture 725" descr="Yemen"/>
        <xdr:cNvPicPr preferRelativeResize="1">
          <a:picLocks noChangeAspect="1"/>
        </xdr:cNvPicPr>
      </xdr:nvPicPr>
      <xdr:blipFill>
        <a:blip r:link="rId12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6" name="Picture 726" descr="Faroe Islands"/>
        <xdr:cNvPicPr preferRelativeResize="1">
          <a:picLocks noChangeAspect="1"/>
        </xdr:cNvPicPr>
      </xdr:nvPicPr>
      <xdr:blipFill>
        <a:blip r:link="rId12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7" name="Picture 727" descr="Botswana"/>
        <xdr:cNvPicPr preferRelativeResize="1">
          <a:picLocks noChangeAspect="1"/>
        </xdr:cNvPicPr>
      </xdr:nvPicPr>
      <xdr:blipFill>
        <a:blip r:link="rId13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8" name="Picture 728" descr="Singapore"/>
        <xdr:cNvPicPr preferRelativeResize="1">
          <a:picLocks noChangeAspect="1"/>
        </xdr:cNvPicPr>
      </xdr:nvPicPr>
      <xdr:blipFill>
        <a:blip r:link="rId13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29" name="Picture 729" descr="Guatemala"/>
        <xdr:cNvPicPr preferRelativeResize="1">
          <a:picLocks noChangeAspect="1"/>
        </xdr:cNvPicPr>
      </xdr:nvPicPr>
      <xdr:blipFill>
        <a:blip r:link="rId13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0" name="Picture 730" descr="Turkmenistan"/>
        <xdr:cNvPicPr preferRelativeResize="1">
          <a:picLocks noChangeAspect="1"/>
        </xdr:cNvPicPr>
      </xdr:nvPicPr>
      <xdr:blipFill>
        <a:blip r:link="rId13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1" name="Picture 731" descr="Equatorial Guinea"/>
        <xdr:cNvPicPr preferRelativeResize="1">
          <a:picLocks noChangeAspect="1"/>
        </xdr:cNvPicPr>
      </xdr:nvPicPr>
      <xdr:blipFill>
        <a:blip r:link="rId13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2" name="Picture 732" descr="Bangladesh"/>
        <xdr:cNvPicPr preferRelativeResize="1">
          <a:picLocks noChangeAspect="1"/>
        </xdr:cNvPicPr>
      </xdr:nvPicPr>
      <xdr:blipFill>
        <a:blip r:link="rId13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3" name="Picture 733" descr="Burundi"/>
        <xdr:cNvPicPr preferRelativeResize="1">
          <a:picLocks noChangeAspect="1"/>
        </xdr:cNvPicPr>
      </xdr:nvPicPr>
      <xdr:blipFill>
        <a:blip r:link="rId13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4" name="Picture 734" descr="Tajikistan"/>
        <xdr:cNvPicPr preferRelativeResize="1">
          <a:picLocks noChangeAspect="1"/>
        </xdr:cNvPicPr>
      </xdr:nvPicPr>
      <xdr:blipFill>
        <a:blip r:link="rId13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5" name="Picture 735" descr="Lebanon"/>
        <xdr:cNvPicPr preferRelativeResize="1">
          <a:picLocks noChangeAspect="1"/>
        </xdr:cNvPicPr>
      </xdr:nvPicPr>
      <xdr:blipFill>
        <a:blip r:link="rId13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6" name="Picture 736" descr="Cuba"/>
        <xdr:cNvPicPr preferRelativeResize="1">
          <a:picLocks noChangeAspect="1"/>
        </xdr:cNvPicPr>
      </xdr:nvPicPr>
      <xdr:blipFill>
        <a:blip r:link="rId13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7" name="Picture 737" descr="Swaziland"/>
        <xdr:cNvPicPr preferRelativeResize="1">
          <a:picLocks noChangeAspect="1"/>
        </xdr:cNvPicPr>
      </xdr:nvPicPr>
      <xdr:blipFill>
        <a:blip r:link="rId14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8" name="Picture 738" descr="Pakistan"/>
        <xdr:cNvPicPr preferRelativeResize="1">
          <a:picLocks noChangeAspect="1"/>
        </xdr:cNvPicPr>
      </xdr:nvPicPr>
      <xdr:blipFill>
        <a:blip r:link="rId14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39" name="Picture 739" descr="Nepal"/>
        <xdr:cNvPicPr preferRelativeResize="1">
          <a:picLocks noChangeAspect="1"/>
        </xdr:cNvPicPr>
      </xdr:nvPicPr>
      <xdr:blipFill>
        <a:blip r:link="rId14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0" name="Picture 740" descr="Sri Lanka"/>
        <xdr:cNvPicPr preferRelativeResize="1">
          <a:picLocks noChangeAspect="1"/>
        </xdr:cNvPicPr>
      </xdr:nvPicPr>
      <xdr:blipFill>
        <a:blip r:link="rId14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1" name="Picture 741" descr="Kyrgyzstan"/>
        <xdr:cNvPicPr preferRelativeResize="1">
          <a:picLocks noChangeAspect="1"/>
        </xdr:cNvPicPr>
      </xdr:nvPicPr>
      <xdr:blipFill>
        <a:blip r:link="rId14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2" name="Picture 742" descr="Liberia"/>
        <xdr:cNvPicPr preferRelativeResize="1">
          <a:picLocks noChangeAspect="1"/>
        </xdr:cNvPicPr>
      </xdr:nvPicPr>
      <xdr:blipFill>
        <a:blip r:link="rId14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3" name="Picture 743" descr="Mauritania"/>
        <xdr:cNvPicPr preferRelativeResize="1">
          <a:picLocks noChangeAspect="1"/>
        </xdr:cNvPicPr>
      </xdr:nvPicPr>
      <xdr:blipFill>
        <a:blip r:link="rId14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4" name="Picture 744" descr="Luxembourg"/>
        <xdr:cNvPicPr preferRelativeResize="1">
          <a:picLocks noChangeAspect="1"/>
        </xdr:cNvPicPr>
      </xdr:nvPicPr>
      <xdr:blipFill>
        <a:blip r:link="rId14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5" name="Picture 745" descr="Indonesia"/>
        <xdr:cNvPicPr preferRelativeResize="1">
          <a:picLocks noChangeAspect="1"/>
        </xdr:cNvPicPr>
      </xdr:nvPicPr>
      <xdr:blipFill>
        <a:blip r:link="rId14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6" name="Picture 746" descr="Madagascar"/>
        <xdr:cNvPicPr preferRelativeResize="1">
          <a:picLocks noChangeAspect="1"/>
        </xdr:cNvPicPr>
      </xdr:nvPicPr>
      <xdr:blipFill>
        <a:blip r:link="rId14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7" name="Picture 747" descr="Guyana"/>
        <xdr:cNvPicPr preferRelativeResize="1">
          <a:picLocks noChangeAspect="1"/>
        </xdr:cNvPicPr>
      </xdr:nvPicPr>
      <xdr:blipFill>
        <a:blip r:link="rId15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8" name="Picture 748" descr="Antigua and Barbuda"/>
        <xdr:cNvPicPr preferRelativeResize="1">
          <a:picLocks noChangeAspect="1"/>
        </xdr:cNvPicPr>
      </xdr:nvPicPr>
      <xdr:blipFill>
        <a:blip r:link="rId15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49" name="Picture 749" descr="Barbados"/>
        <xdr:cNvPicPr preferRelativeResize="1">
          <a:picLocks noChangeAspect="1"/>
        </xdr:cNvPicPr>
      </xdr:nvPicPr>
      <xdr:blipFill>
        <a:blip r:link="rId15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0" name="Picture 750" descr="Grenada"/>
        <xdr:cNvPicPr preferRelativeResize="1">
          <a:picLocks noChangeAspect="1"/>
        </xdr:cNvPicPr>
      </xdr:nvPicPr>
      <xdr:blipFill>
        <a:blip r:link="rId15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1" name="Picture 751" descr="Bermuda"/>
        <xdr:cNvPicPr preferRelativeResize="1">
          <a:picLocks noChangeAspect="1"/>
        </xdr:cNvPicPr>
      </xdr:nvPicPr>
      <xdr:blipFill>
        <a:blip r:link="rId15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2" name="Picture 752" descr="Hong Kong"/>
        <xdr:cNvPicPr preferRelativeResize="1">
          <a:picLocks noChangeAspect="1"/>
        </xdr:cNvPicPr>
      </xdr:nvPicPr>
      <xdr:blipFill>
        <a:blip r:link="rId15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3" name="Picture 753" descr="Maldives"/>
        <xdr:cNvPicPr preferRelativeResize="1">
          <a:picLocks noChangeAspect="1"/>
        </xdr:cNvPicPr>
      </xdr:nvPicPr>
      <xdr:blipFill>
        <a:blip r:link="rId15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4" name="Picture 754" descr="New Caledonia"/>
        <xdr:cNvPicPr preferRelativeResize="1">
          <a:picLocks noChangeAspect="1"/>
        </xdr:cNvPicPr>
      </xdr:nvPicPr>
      <xdr:blipFill>
        <a:blip r:link="rId15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5" name="Picture 755" descr="Lesotho"/>
        <xdr:cNvPicPr preferRelativeResize="1">
          <a:picLocks noChangeAspect="1"/>
        </xdr:cNvPicPr>
      </xdr:nvPicPr>
      <xdr:blipFill>
        <a:blip r:link="rId15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6" name="Picture 756" descr="Niger"/>
        <xdr:cNvPicPr preferRelativeResize="1">
          <a:picLocks noChangeAspect="1"/>
        </xdr:cNvPicPr>
      </xdr:nvPicPr>
      <xdr:blipFill>
        <a:blip r:link="rId15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7" name="Picture 757" descr="Cambodia"/>
        <xdr:cNvPicPr preferRelativeResize="1">
          <a:picLocks noChangeAspect="1"/>
        </xdr:cNvPicPr>
      </xdr:nvPicPr>
      <xdr:blipFill>
        <a:blip r:link="rId16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8" name="Picture 758" descr="Mauritius"/>
        <xdr:cNvPicPr preferRelativeResize="1">
          <a:picLocks noChangeAspect="1"/>
        </xdr:cNvPicPr>
      </xdr:nvPicPr>
      <xdr:blipFill>
        <a:blip r:link="rId16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59" name="Picture 759" descr="Somalia"/>
        <xdr:cNvPicPr preferRelativeResize="1">
          <a:picLocks noChangeAspect="1"/>
        </xdr:cNvPicPr>
      </xdr:nvPicPr>
      <xdr:blipFill>
        <a:blip r:link="rId16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0" name="Picture 760" descr="Central African Republic"/>
        <xdr:cNvPicPr preferRelativeResize="1">
          <a:picLocks noChangeAspect="1"/>
        </xdr:cNvPicPr>
      </xdr:nvPicPr>
      <xdr:blipFill>
        <a:blip r:link="rId16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1" name="Picture 761" descr="Liechtenstein"/>
        <xdr:cNvPicPr preferRelativeResize="1">
          <a:picLocks noChangeAspect="1"/>
        </xdr:cNvPicPr>
      </xdr:nvPicPr>
      <xdr:blipFill>
        <a:blip r:link="rId16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2" name="Picture 762" descr="Vanuatu"/>
        <xdr:cNvPicPr preferRelativeResize="1">
          <a:picLocks noChangeAspect="1"/>
        </xdr:cNvPicPr>
      </xdr:nvPicPr>
      <xdr:blipFill>
        <a:blip r:link="rId16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3" name="Picture 763" descr="St. Kitts and Nevis"/>
        <xdr:cNvPicPr preferRelativeResize="1">
          <a:picLocks noChangeAspect="1"/>
        </xdr:cNvPicPr>
      </xdr:nvPicPr>
      <xdr:blipFill>
        <a:blip r:link="rId16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4" name="Picture 764" descr="Malaysia"/>
        <xdr:cNvPicPr preferRelativeResize="1">
          <a:picLocks noChangeAspect="1"/>
        </xdr:cNvPicPr>
      </xdr:nvPicPr>
      <xdr:blipFill>
        <a:blip r:link="rId16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5" name="Picture 765" descr="Nicaragua"/>
        <xdr:cNvPicPr preferRelativeResize="1">
          <a:picLocks noChangeAspect="1"/>
        </xdr:cNvPicPr>
      </xdr:nvPicPr>
      <xdr:blipFill>
        <a:blip r:link="rId16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6" name="Picture 766" descr="Puerto Rico"/>
        <xdr:cNvPicPr preferRelativeResize="1">
          <a:picLocks noChangeAspect="1"/>
        </xdr:cNvPicPr>
      </xdr:nvPicPr>
      <xdr:blipFill>
        <a:blip r:link="rId16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7" name="Picture 767" descr="Philippines"/>
        <xdr:cNvPicPr preferRelativeResize="1">
          <a:picLocks noChangeAspect="1"/>
        </xdr:cNvPicPr>
      </xdr:nvPicPr>
      <xdr:blipFill>
        <a:blip r:link="rId17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8" name="Picture 768" descr="St. Vincent and the Grenadines"/>
        <xdr:cNvPicPr preferRelativeResize="1">
          <a:picLocks noChangeAspect="1"/>
        </xdr:cNvPicPr>
      </xdr:nvPicPr>
      <xdr:blipFill>
        <a:blip r:link="rId17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69" name="Picture 769" descr="Netherlands Antilles"/>
        <xdr:cNvPicPr preferRelativeResize="1">
          <a:picLocks noChangeAspect="1"/>
        </xdr:cNvPicPr>
      </xdr:nvPicPr>
      <xdr:blipFill>
        <a:blip r:link="rId17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0" name="Picture 770" descr="Solomon Islands"/>
        <xdr:cNvPicPr preferRelativeResize="1">
          <a:picLocks noChangeAspect="1"/>
        </xdr:cNvPicPr>
      </xdr:nvPicPr>
      <xdr:blipFill>
        <a:blip r:link="rId17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1" name="Picture 771" descr="Palestine"/>
        <xdr:cNvPicPr preferRelativeResize="1">
          <a:picLocks noChangeAspect="1"/>
        </xdr:cNvPicPr>
      </xdr:nvPicPr>
      <xdr:blipFill>
        <a:blip r:link="rId17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2" name="Picture 772" descr="Turks and Caicos Islands"/>
        <xdr:cNvPicPr preferRelativeResize="1">
          <a:picLocks noChangeAspect="1"/>
        </xdr:cNvPicPr>
      </xdr:nvPicPr>
      <xdr:blipFill>
        <a:blip r:link="rId17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3" name="Picture 773" descr="Seychelles"/>
        <xdr:cNvPicPr preferRelativeResize="1">
          <a:picLocks noChangeAspect="1"/>
        </xdr:cNvPicPr>
      </xdr:nvPicPr>
      <xdr:blipFill>
        <a:blip r:link="rId17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4" name="Picture 774" descr="Comoros"/>
        <xdr:cNvPicPr preferRelativeResize="1">
          <a:picLocks noChangeAspect="1"/>
        </xdr:cNvPicPr>
      </xdr:nvPicPr>
      <xdr:blipFill>
        <a:blip r:link="rId17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5" name="Picture 775" descr="Bahamas"/>
        <xdr:cNvPicPr preferRelativeResize="1">
          <a:picLocks noChangeAspect="1"/>
        </xdr:cNvPicPr>
      </xdr:nvPicPr>
      <xdr:blipFill>
        <a:blip r:link="rId17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6" name="Picture 776" descr="Cayman Islands"/>
        <xdr:cNvPicPr preferRelativeResize="1">
          <a:picLocks noChangeAspect="1"/>
        </xdr:cNvPicPr>
      </xdr:nvPicPr>
      <xdr:blipFill>
        <a:blip r:link="rId17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7" name="Picture 777" descr="Dominica"/>
        <xdr:cNvPicPr preferRelativeResize="1">
          <a:picLocks noChangeAspect="1"/>
        </xdr:cNvPicPr>
      </xdr:nvPicPr>
      <xdr:blipFill>
        <a:blip r:link="rId18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8" name="Picture 778" descr="Andorra"/>
        <xdr:cNvPicPr preferRelativeResize="1">
          <a:picLocks noChangeAspect="1"/>
        </xdr:cNvPicPr>
      </xdr:nvPicPr>
      <xdr:blipFill>
        <a:blip r:link="rId18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79" name="Picture 779" descr="Samoa"/>
        <xdr:cNvPicPr preferRelativeResize="1">
          <a:picLocks noChangeAspect="1"/>
        </xdr:cNvPicPr>
      </xdr:nvPicPr>
      <xdr:blipFill>
        <a:blip r:link="rId18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0" name="Picture 780" descr="Guam"/>
        <xdr:cNvPicPr preferRelativeResize="1">
          <a:picLocks noChangeAspect="1"/>
        </xdr:cNvPicPr>
      </xdr:nvPicPr>
      <xdr:blipFill>
        <a:blip r:link="rId18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1" name="Picture 781" descr="Cook Islands"/>
        <xdr:cNvPicPr preferRelativeResize="1">
          <a:picLocks noChangeAspect="1"/>
        </xdr:cNvPicPr>
      </xdr:nvPicPr>
      <xdr:blipFill>
        <a:blip r:link="rId18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2" name="Picture 782" descr="Belize"/>
        <xdr:cNvPicPr preferRelativeResize="1">
          <a:picLocks noChangeAspect="1"/>
        </xdr:cNvPicPr>
      </xdr:nvPicPr>
      <xdr:blipFill>
        <a:blip r:link="rId18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3" name="Picture 783" descr="St. Lucia"/>
        <xdr:cNvPicPr preferRelativeResize="1">
          <a:picLocks noChangeAspect="1"/>
        </xdr:cNvPicPr>
      </xdr:nvPicPr>
      <xdr:blipFill>
        <a:blip r:link="rId18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4" name="Picture 784" descr="Macau"/>
        <xdr:cNvPicPr preferRelativeResize="1">
          <a:picLocks noChangeAspect="1"/>
        </xdr:cNvPicPr>
      </xdr:nvPicPr>
      <xdr:blipFill>
        <a:blip r:link="rId18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5" name="Picture 785" descr="Tonga"/>
        <xdr:cNvPicPr preferRelativeResize="1">
          <a:picLocks noChangeAspect="1"/>
        </xdr:cNvPicPr>
      </xdr:nvPicPr>
      <xdr:blipFill>
        <a:blip r:link="rId18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6" name="Picture 786" descr="Dominican Republic"/>
        <xdr:cNvPicPr preferRelativeResize="1">
          <a:picLocks noChangeAspect="1"/>
        </xdr:cNvPicPr>
      </xdr:nvPicPr>
      <xdr:blipFill>
        <a:blip r:link="rId18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7" name="Picture 787" descr="Brunei Darussalam"/>
        <xdr:cNvPicPr preferRelativeResize="1">
          <a:picLocks noChangeAspect="1"/>
        </xdr:cNvPicPr>
      </xdr:nvPicPr>
      <xdr:blipFill>
        <a:blip r:link="rId190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8" name="Picture 788" descr="British Virgin Islands"/>
        <xdr:cNvPicPr preferRelativeResize="1">
          <a:picLocks noChangeAspect="1"/>
        </xdr:cNvPicPr>
      </xdr:nvPicPr>
      <xdr:blipFill>
        <a:blip r:link="rId191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89" name="Picture 789" descr="Djibouti"/>
        <xdr:cNvPicPr preferRelativeResize="1">
          <a:picLocks noChangeAspect="1"/>
        </xdr:cNvPicPr>
      </xdr:nvPicPr>
      <xdr:blipFill>
        <a:blip r:link="rId192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0" name="Picture 790" descr="Afghanistan"/>
        <xdr:cNvPicPr preferRelativeResize="1">
          <a:picLocks noChangeAspect="1"/>
        </xdr:cNvPicPr>
      </xdr:nvPicPr>
      <xdr:blipFill>
        <a:blip r:link="rId193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1" name="Picture 791" descr="Tahiti"/>
        <xdr:cNvPicPr preferRelativeResize="1">
          <a:picLocks noChangeAspect="1"/>
        </xdr:cNvPicPr>
      </xdr:nvPicPr>
      <xdr:blipFill>
        <a:blip r:link="rId194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2" name="Picture 792" descr="Bhutan"/>
        <xdr:cNvPicPr preferRelativeResize="1">
          <a:picLocks noChangeAspect="1"/>
        </xdr:cNvPicPr>
      </xdr:nvPicPr>
      <xdr:blipFill>
        <a:blip r:link="rId195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3" name="Picture 793" descr="Aruba"/>
        <xdr:cNvPicPr preferRelativeResize="1">
          <a:picLocks noChangeAspect="1"/>
        </xdr:cNvPicPr>
      </xdr:nvPicPr>
      <xdr:blipFill>
        <a:blip r:link="rId196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4" name="Picture 794" descr="San Marino"/>
        <xdr:cNvPicPr preferRelativeResize="1">
          <a:picLocks noChangeAspect="1"/>
        </xdr:cNvPicPr>
      </xdr:nvPicPr>
      <xdr:blipFill>
        <a:blip r:link="rId197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5" name="Picture 795" descr="US Virgin Islands"/>
        <xdr:cNvPicPr preferRelativeResize="1">
          <a:picLocks noChangeAspect="1"/>
        </xdr:cNvPicPr>
      </xdr:nvPicPr>
      <xdr:blipFill>
        <a:blip r:link="rId198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pic>
      <xdr:nvPicPr>
        <xdr:cNvPr id="796" name="Picture 796" descr="Timor-Leste"/>
        <xdr:cNvPicPr preferRelativeResize="1">
          <a:picLocks noChangeAspect="1"/>
        </xdr:cNvPicPr>
      </xdr:nvPicPr>
      <xdr:blipFill>
        <a:blip r:link="rId199"/>
        <a:stretch>
          <a:fillRect/>
        </a:stretch>
      </xdr:blipFill>
      <xdr:spPr>
        <a:xfrm>
          <a:off x="0" y="23650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797" name="Picture 797" descr="Cameroo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95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pic>
      <xdr:nvPicPr>
        <xdr:cNvPr id="798" name="Picture 798" descr="Nigeria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495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pic>
      <xdr:nvPicPr>
        <xdr:cNvPr id="799" name="Picture 799" descr="Spain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657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0" name="Picture 800" descr="Brazil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1" name="Picture 801" descr="Argentina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2" name="Picture 802" descr="Ethiopia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3" name="Picture 803" descr="Zambia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4" name="Picture 804" descr="Ghana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123825</xdr:rowOff>
    </xdr:to>
    <xdr:pic>
      <xdr:nvPicPr>
        <xdr:cNvPr id="805" name="Picture 805" descr="Poland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143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6" name="Picture 806" descr="Uruguay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pic>
      <xdr:nvPicPr>
        <xdr:cNvPr id="807" name="Picture 807" descr="Egypt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0" y="819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08" name="Picture 808" descr="Ecuador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123825</xdr:rowOff>
    </xdr:to>
    <xdr:pic>
      <xdr:nvPicPr>
        <xdr:cNvPr id="809" name="Picture 809" descr="Italy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819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810" name="Picture 810" descr="Saudi Arabia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0" y="98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123825</xdr:rowOff>
    </xdr:to>
    <xdr:pic>
      <xdr:nvPicPr>
        <xdr:cNvPr id="811" name="Picture 811" descr="Czech Republic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0" y="1628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123825</xdr:rowOff>
    </xdr:to>
    <xdr:pic>
      <xdr:nvPicPr>
        <xdr:cNvPr id="812" name="Picture 812" descr="Germany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1790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13" name="Picture 813" descr="Algeria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pic>
      <xdr:nvPicPr>
        <xdr:cNvPr id="814" name="Picture 814" descr="USA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0" y="1466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pic>
      <xdr:nvPicPr>
        <xdr:cNvPr id="815" name="Picture 815" descr="Australia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981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16" name="Picture 816" descr="Kenya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17" name="Picture 817" descr="Senegal"/>
        <xdr:cNvPicPr preferRelativeResize="1">
          <a:picLocks noChangeAspect="1"/>
        </xdr:cNvPicPr>
      </xdr:nvPicPr>
      <xdr:blipFill>
        <a:blip r:link="rId21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18" name="Picture 818" descr="Côte d'Ivoire"/>
        <xdr:cNvPicPr preferRelativeResize="1">
          <a:picLocks noChangeAspect="1"/>
        </xdr:cNvPicPr>
      </xdr:nvPicPr>
      <xdr:blipFill>
        <a:blip r:link="rId22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819" name="Picture 819" descr="Colombia"/>
        <xdr:cNvPicPr preferRelativeResize="1">
          <a:picLocks noChangeAspect="1"/>
        </xdr:cNvPicPr>
      </xdr:nvPicPr>
      <xdr:blipFill>
        <a:blip r:link="rId23"/>
        <a:stretch>
          <a:fillRect/>
        </a:stretch>
      </xdr:blipFill>
      <xdr:spPr>
        <a:xfrm>
          <a:off x="0" y="211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0</xdr:colOff>
      <xdr:row>2</xdr:row>
      <xdr:rowOff>133350</xdr:rowOff>
    </xdr:to>
    <xdr:pic>
      <xdr:nvPicPr>
        <xdr:cNvPr id="820" name="Picture 820" descr="Ukraine"/>
        <xdr:cNvPicPr preferRelativeResize="1">
          <a:picLocks noChangeAspect="1"/>
        </xdr:cNvPicPr>
      </xdr:nvPicPr>
      <xdr:blipFill>
        <a:blip r:link="rId24"/>
        <a:stretch>
          <a:fillRect/>
        </a:stretch>
      </xdr:blipFill>
      <xdr:spPr>
        <a:xfrm>
          <a:off x="0" y="504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821" name="Picture 821" descr="Tunisia"/>
        <xdr:cNvPicPr preferRelativeResize="1">
          <a:picLocks noChangeAspect="1"/>
        </xdr:cNvPicPr>
      </xdr:nvPicPr>
      <xdr:blipFill>
        <a:blip r:link="rId25"/>
        <a:stretch>
          <a:fillRect/>
        </a:stretch>
      </xdr:blipFill>
      <xdr:spPr>
        <a:xfrm>
          <a:off x="0" y="211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822" name="Picture 822" descr="Morocco"/>
        <xdr:cNvPicPr preferRelativeResize="1">
          <a:picLocks noChangeAspect="1"/>
        </xdr:cNvPicPr>
      </xdr:nvPicPr>
      <xdr:blipFill>
        <a:blip r:link="rId26"/>
        <a:stretch>
          <a:fillRect/>
        </a:stretch>
      </xdr:blipFill>
      <xdr:spPr>
        <a:xfrm>
          <a:off x="0" y="211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823" name="Picture 823" descr="China PR"/>
        <xdr:cNvPicPr preferRelativeResize="1">
          <a:picLocks noChangeAspect="1"/>
        </xdr:cNvPicPr>
      </xdr:nvPicPr>
      <xdr:blipFill>
        <a:blip r:link="rId27"/>
        <a:stretch>
          <a:fillRect/>
        </a:stretch>
      </xdr:blipFill>
      <xdr:spPr>
        <a:xfrm>
          <a:off x="0" y="211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123825</xdr:rowOff>
    </xdr:to>
    <xdr:pic>
      <xdr:nvPicPr>
        <xdr:cNvPr id="824" name="Picture 824" descr="France"/>
        <xdr:cNvPicPr preferRelativeResize="1">
          <a:picLocks noChangeAspect="1"/>
        </xdr:cNvPicPr>
      </xdr:nvPicPr>
      <xdr:blipFill>
        <a:blip r:link="rId28"/>
        <a:stretch>
          <a:fillRect/>
        </a:stretch>
      </xdr:blipFill>
      <xdr:spPr>
        <a:xfrm>
          <a:off x="0" y="19526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pic>
      <xdr:nvPicPr>
        <xdr:cNvPr id="825" name="Picture 825" descr="Angola"/>
        <xdr:cNvPicPr preferRelativeResize="1">
          <a:picLocks noChangeAspect="1"/>
        </xdr:cNvPicPr>
      </xdr:nvPicPr>
      <xdr:blipFill>
        <a:blip r:link="rId29"/>
        <a:stretch>
          <a:fillRect/>
        </a:stretch>
      </xdr:blipFill>
      <xdr:spPr>
        <a:xfrm>
          <a:off x="0" y="2114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123825</xdr:rowOff>
    </xdr:to>
    <xdr:pic>
      <xdr:nvPicPr>
        <xdr:cNvPr id="826" name="Picture 826" descr="Russia"/>
        <xdr:cNvPicPr preferRelativeResize="1">
          <a:picLocks noChangeAspect="1"/>
        </xdr:cNvPicPr>
      </xdr:nvPicPr>
      <xdr:blipFill>
        <a:blip r:link="rId30"/>
        <a:stretch>
          <a:fillRect/>
        </a:stretch>
      </xdr:blipFill>
      <xdr:spPr>
        <a:xfrm>
          <a:off x="0" y="21145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27" name="Picture 827" descr="Chile"/>
        <xdr:cNvPicPr preferRelativeResize="1">
          <a:picLocks noChangeAspect="1"/>
        </xdr:cNvPicPr>
      </xdr:nvPicPr>
      <xdr:blipFill>
        <a:blip r:link="rId31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123825</xdr:rowOff>
    </xdr:to>
    <xdr:pic>
      <xdr:nvPicPr>
        <xdr:cNvPr id="828" name="Picture 828" descr="Slovakia"/>
        <xdr:cNvPicPr preferRelativeResize="1">
          <a:picLocks noChangeAspect="1"/>
        </xdr:cNvPicPr>
      </xdr:nvPicPr>
      <xdr:blipFill>
        <a:blip r:link="rId32"/>
        <a:stretch>
          <a:fillRect/>
        </a:stretch>
      </xdr:blipFill>
      <xdr:spPr>
        <a:xfrm>
          <a:off x="0" y="22764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pic>
      <xdr:nvPicPr>
        <xdr:cNvPr id="829" name="Picture 829" descr="Japan"/>
        <xdr:cNvPicPr preferRelativeResize="1">
          <a:picLocks noChangeAspect="1"/>
        </xdr:cNvPicPr>
      </xdr:nvPicPr>
      <xdr:blipFill>
        <a:blip r:link="rId33"/>
        <a:stretch>
          <a:fillRect/>
        </a:stretch>
      </xdr:blipFill>
      <xdr:spPr>
        <a:xfrm>
          <a:off x="0" y="2762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pic>
      <xdr:nvPicPr>
        <xdr:cNvPr id="830" name="Picture 830" descr="Gabon"/>
        <xdr:cNvPicPr preferRelativeResize="1">
          <a:picLocks noChangeAspect="1"/>
        </xdr:cNvPicPr>
      </xdr:nvPicPr>
      <xdr:blipFill>
        <a:blip r:link="rId34"/>
        <a:stretch>
          <a:fillRect/>
        </a:stretch>
      </xdr:blipFill>
      <xdr:spPr>
        <a:xfrm>
          <a:off x="0" y="2762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pic>
      <xdr:nvPicPr>
        <xdr:cNvPr id="831" name="Picture 831" descr="Costa Rica"/>
        <xdr:cNvPicPr preferRelativeResize="1">
          <a:picLocks noChangeAspect="1"/>
        </xdr:cNvPicPr>
      </xdr:nvPicPr>
      <xdr:blipFill>
        <a:blip r:link="rId35"/>
        <a:stretch>
          <a:fillRect/>
        </a:stretch>
      </xdr:blipFill>
      <xdr:spPr>
        <a:xfrm>
          <a:off x="0" y="3086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123825</xdr:rowOff>
    </xdr:to>
    <xdr:pic>
      <xdr:nvPicPr>
        <xdr:cNvPr id="832" name="Picture 832" descr="Lithuania"/>
        <xdr:cNvPicPr preferRelativeResize="1">
          <a:picLocks noChangeAspect="1"/>
        </xdr:cNvPicPr>
      </xdr:nvPicPr>
      <xdr:blipFill>
        <a:blip r:link="rId36"/>
        <a:stretch>
          <a:fillRect/>
        </a:stretch>
      </xdr:blipFill>
      <xdr:spPr>
        <a:xfrm>
          <a:off x="0" y="30861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833" name="Picture 833" descr="Paraguay"/>
        <xdr:cNvPicPr preferRelativeResize="1">
          <a:picLocks noChangeAspect="1"/>
        </xdr:cNvPicPr>
      </xdr:nvPicPr>
      <xdr:blipFill>
        <a:blip r:link="rId37"/>
        <a:stretch>
          <a:fillRect/>
        </a:stretch>
      </xdr:blipFill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834" name="Picture 834" descr="Mexico"/>
        <xdr:cNvPicPr preferRelativeResize="1">
          <a:picLocks noChangeAspect="1"/>
        </xdr:cNvPicPr>
      </xdr:nvPicPr>
      <xdr:blipFill>
        <a:blip r:link="rId38"/>
        <a:stretch>
          <a:fillRect/>
        </a:stretch>
      </xdr:blipFill>
      <xdr:spPr>
        <a:xfrm>
          <a:off x="0" y="17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123825</xdr:rowOff>
    </xdr:to>
    <xdr:pic>
      <xdr:nvPicPr>
        <xdr:cNvPr id="835" name="Picture 835" descr="Romania"/>
        <xdr:cNvPicPr preferRelativeResize="1">
          <a:picLocks noChangeAspect="1"/>
        </xdr:cNvPicPr>
      </xdr:nvPicPr>
      <xdr:blipFill>
        <a:blip r:link="rId39"/>
        <a:stretch>
          <a:fillRect/>
        </a:stretch>
      </xdr:blipFill>
      <xdr:spPr>
        <a:xfrm>
          <a:off x="0" y="24384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pic>
      <xdr:nvPicPr>
        <xdr:cNvPr id="836" name="Picture 836" descr="Venezuela"/>
        <xdr:cNvPicPr preferRelativeResize="1">
          <a:picLocks noChangeAspect="1"/>
        </xdr:cNvPicPr>
      </xdr:nvPicPr>
      <xdr:blipFill>
        <a:blip r:link="rId40"/>
        <a:stretch>
          <a:fillRect/>
        </a:stretch>
      </xdr:blipFill>
      <xdr:spPr>
        <a:xfrm>
          <a:off x="0" y="340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pic>
      <xdr:nvPicPr>
        <xdr:cNvPr id="837" name="Picture 837" descr="Honduras"/>
        <xdr:cNvPicPr preferRelativeResize="1">
          <a:picLocks noChangeAspect="1"/>
        </xdr:cNvPicPr>
      </xdr:nvPicPr>
      <xdr:blipFill>
        <a:blip r:link="rId41"/>
        <a:stretch>
          <a:fillRect/>
        </a:stretch>
      </xdr:blipFill>
      <xdr:spPr>
        <a:xfrm>
          <a:off x="0" y="3409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123825</xdr:rowOff>
    </xdr:to>
    <xdr:pic>
      <xdr:nvPicPr>
        <xdr:cNvPr id="838" name="Picture 838" descr="Montenegro"/>
        <xdr:cNvPicPr preferRelativeResize="1">
          <a:picLocks noChangeAspect="1"/>
        </xdr:cNvPicPr>
      </xdr:nvPicPr>
      <xdr:blipFill>
        <a:blip r:link="rId42"/>
        <a:stretch>
          <a:fillRect/>
        </a:stretch>
      </xdr:blipFill>
      <xdr:spPr>
        <a:xfrm>
          <a:off x="0" y="26003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pic>
      <xdr:nvPicPr>
        <xdr:cNvPr id="839" name="Picture 839" descr="Korea Republic"/>
        <xdr:cNvPicPr preferRelativeResize="1">
          <a:picLocks noChangeAspect="1"/>
        </xdr:cNvPicPr>
      </xdr:nvPicPr>
      <xdr:blipFill>
        <a:blip r:link="rId43"/>
        <a:stretch>
          <a:fillRect/>
        </a:stretch>
      </xdr:blipFill>
      <xdr:spPr>
        <a:xfrm>
          <a:off x="0" y="405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pic>
      <xdr:nvPicPr>
        <xdr:cNvPr id="840" name="Picture 840" descr="Burkina Faso"/>
        <xdr:cNvPicPr preferRelativeResize="1">
          <a:picLocks noChangeAspect="1"/>
        </xdr:cNvPicPr>
      </xdr:nvPicPr>
      <xdr:blipFill>
        <a:blip r:link="rId44"/>
        <a:stretch>
          <a:fillRect/>
        </a:stretch>
      </xdr:blipFill>
      <xdr:spPr>
        <a:xfrm>
          <a:off x="0" y="3733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123825</xdr:rowOff>
    </xdr:to>
    <xdr:pic>
      <xdr:nvPicPr>
        <xdr:cNvPr id="841" name="Picture 841" descr="Latvia"/>
        <xdr:cNvPicPr preferRelativeResize="1">
          <a:picLocks noChangeAspect="1"/>
        </xdr:cNvPicPr>
      </xdr:nvPicPr>
      <xdr:blipFill>
        <a:blip r:link="rId45"/>
        <a:stretch>
          <a:fillRect/>
        </a:stretch>
      </xdr:blipFill>
      <xdr:spPr>
        <a:xfrm>
          <a:off x="0" y="40576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123825</xdr:rowOff>
    </xdr:to>
    <xdr:pic>
      <xdr:nvPicPr>
        <xdr:cNvPr id="842" name="Picture 842" descr="Belarus"/>
        <xdr:cNvPicPr preferRelativeResize="1">
          <a:picLocks noChangeAspect="1"/>
        </xdr:cNvPicPr>
      </xdr:nvPicPr>
      <xdr:blipFill>
        <a:blip r:link="rId46"/>
        <a:stretch>
          <a:fillRect/>
        </a:stretch>
      </xdr:blipFill>
      <xdr:spPr>
        <a:xfrm>
          <a:off x="0" y="42195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123825</xdr:rowOff>
    </xdr:to>
    <xdr:pic>
      <xdr:nvPicPr>
        <xdr:cNvPr id="843" name="Picture 843" descr="Norway"/>
        <xdr:cNvPicPr preferRelativeResize="1">
          <a:picLocks noChangeAspect="1"/>
        </xdr:cNvPicPr>
      </xdr:nvPicPr>
      <xdr:blipFill>
        <a:blip r:link="rId47"/>
        <a:stretch>
          <a:fillRect/>
        </a:stretch>
      </xdr:blipFill>
      <xdr:spPr>
        <a:xfrm>
          <a:off x="0" y="35718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123825</xdr:rowOff>
    </xdr:to>
    <xdr:pic>
      <xdr:nvPicPr>
        <xdr:cNvPr id="844" name="Picture 844" descr="Estonia"/>
        <xdr:cNvPicPr preferRelativeResize="1">
          <a:picLocks noChangeAspect="1"/>
        </xdr:cNvPicPr>
      </xdr:nvPicPr>
      <xdr:blipFill>
        <a:blip r:link="rId48"/>
        <a:stretch>
          <a:fillRect/>
        </a:stretch>
      </xdr:blipFill>
      <xdr:spPr>
        <a:xfrm>
          <a:off x="0" y="37338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123825</xdr:rowOff>
    </xdr:to>
    <xdr:pic>
      <xdr:nvPicPr>
        <xdr:cNvPr id="845" name="Picture 845" descr="Netherlands"/>
        <xdr:cNvPicPr preferRelativeResize="1">
          <a:picLocks noChangeAspect="1"/>
        </xdr:cNvPicPr>
      </xdr:nvPicPr>
      <xdr:blipFill>
        <a:blip r:link="rId49"/>
        <a:stretch>
          <a:fillRect/>
        </a:stretch>
      </xdr:blipFill>
      <xdr:spPr>
        <a:xfrm>
          <a:off x="0" y="981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123825</xdr:rowOff>
    </xdr:to>
    <xdr:pic>
      <xdr:nvPicPr>
        <xdr:cNvPr id="846" name="Picture 846" descr="England"/>
        <xdr:cNvPicPr preferRelativeResize="1">
          <a:picLocks noChangeAspect="1"/>
        </xdr:cNvPicPr>
      </xdr:nvPicPr>
      <xdr:blipFill>
        <a:blip r:link="rId50"/>
        <a:stretch>
          <a:fillRect/>
        </a:stretch>
      </xdr:blipFill>
      <xdr:spPr>
        <a:xfrm>
          <a:off x="0" y="34099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123825</xdr:rowOff>
    </xdr:to>
    <xdr:pic>
      <xdr:nvPicPr>
        <xdr:cNvPr id="847" name="Picture 847" descr="Serbia"/>
        <xdr:cNvPicPr preferRelativeResize="1">
          <a:picLocks noChangeAspect="1"/>
        </xdr:cNvPicPr>
      </xdr:nvPicPr>
      <xdr:blipFill>
        <a:blip r:link="rId51"/>
        <a:stretch>
          <a:fillRect/>
        </a:stretch>
      </xdr:blipFill>
      <xdr:spPr>
        <a:xfrm>
          <a:off x="0" y="29241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123825</xdr:rowOff>
    </xdr:to>
    <xdr:pic>
      <xdr:nvPicPr>
        <xdr:cNvPr id="848" name="Picture 848" descr="Hungary"/>
        <xdr:cNvPicPr preferRelativeResize="1">
          <a:picLocks noChangeAspect="1"/>
        </xdr:cNvPicPr>
      </xdr:nvPicPr>
      <xdr:blipFill>
        <a:blip r:link="rId52"/>
        <a:stretch>
          <a:fillRect/>
        </a:stretch>
      </xdr:blipFill>
      <xdr:spPr>
        <a:xfrm>
          <a:off x="0" y="32480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849" name="Picture 849" descr="Mozambique"/>
        <xdr:cNvPicPr preferRelativeResize="1">
          <a:picLocks noChangeAspect="1"/>
        </xdr:cNvPicPr>
      </xdr:nvPicPr>
      <xdr:blipFill>
        <a:blip r:link="rId53"/>
        <a:stretch>
          <a:fillRect/>
        </a:stretch>
      </xdr:blipFill>
      <xdr:spPr>
        <a:xfrm>
          <a:off x="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850" name="Picture 850" descr="South Africa"/>
        <xdr:cNvPicPr preferRelativeResize="1">
          <a:picLocks noChangeAspect="1"/>
        </xdr:cNvPicPr>
      </xdr:nvPicPr>
      <xdr:blipFill>
        <a:blip r:link="rId54"/>
        <a:stretch>
          <a:fillRect/>
        </a:stretch>
      </xdr:blipFill>
      <xdr:spPr>
        <a:xfrm>
          <a:off x="0" y="4381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pic>
      <xdr:nvPicPr>
        <xdr:cNvPr id="851" name="Picture 851" descr="Jamaica"/>
        <xdr:cNvPicPr preferRelativeResize="1">
          <a:picLocks noChangeAspect="1"/>
        </xdr:cNvPicPr>
      </xdr:nvPicPr>
      <xdr:blipFill>
        <a:blip r:link="rId55"/>
        <a:stretch>
          <a:fillRect/>
        </a:stretch>
      </xdr:blipFill>
      <xdr:spPr>
        <a:xfrm>
          <a:off x="0" y="2600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pic>
      <xdr:nvPicPr>
        <xdr:cNvPr id="852" name="Picture 852" descr="New Zealand"/>
        <xdr:cNvPicPr preferRelativeResize="1">
          <a:picLocks noChangeAspect="1"/>
        </xdr:cNvPicPr>
      </xdr:nvPicPr>
      <xdr:blipFill>
        <a:blip r:link="rId56"/>
        <a:stretch>
          <a:fillRect/>
        </a:stretch>
      </xdr:blipFill>
      <xdr:spPr>
        <a:xfrm>
          <a:off x="0" y="324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123825</xdr:rowOff>
    </xdr:to>
    <xdr:pic>
      <xdr:nvPicPr>
        <xdr:cNvPr id="853" name="Picture 853" descr="FYR Macedonia"/>
        <xdr:cNvPicPr preferRelativeResize="1">
          <a:picLocks noChangeAspect="1"/>
        </xdr:cNvPicPr>
      </xdr:nvPicPr>
      <xdr:blipFill>
        <a:blip r:link="rId57"/>
        <a:stretch>
          <a:fillRect/>
        </a:stretch>
      </xdr:blipFill>
      <xdr:spPr>
        <a:xfrm>
          <a:off x="0" y="43815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123825</xdr:rowOff>
    </xdr:to>
    <xdr:pic>
      <xdr:nvPicPr>
        <xdr:cNvPr id="854" name="Picture 854" descr="Greece"/>
        <xdr:cNvPicPr preferRelativeResize="1">
          <a:picLocks noChangeAspect="1"/>
        </xdr:cNvPicPr>
      </xdr:nvPicPr>
      <xdr:blipFill>
        <a:blip r:link="rId58"/>
        <a:stretch>
          <a:fillRect/>
        </a:stretch>
      </xdr:blipFill>
      <xdr:spPr>
        <a:xfrm>
          <a:off x="0" y="45434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123825</xdr:rowOff>
    </xdr:to>
    <xdr:pic>
      <xdr:nvPicPr>
        <xdr:cNvPr id="855" name="Picture 855" descr="Portugal"/>
        <xdr:cNvPicPr preferRelativeResize="1">
          <a:picLocks noChangeAspect="1"/>
        </xdr:cNvPicPr>
      </xdr:nvPicPr>
      <xdr:blipFill>
        <a:blip r:link="rId59"/>
        <a:stretch>
          <a:fillRect/>
        </a:stretch>
      </xdr:blipFill>
      <xdr:spPr>
        <a:xfrm>
          <a:off x="0" y="1304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pic>
      <xdr:nvPicPr>
        <xdr:cNvPr id="856" name="Picture 856" descr="Mali"/>
        <xdr:cNvPicPr preferRelativeResize="1">
          <a:picLocks noChangeAspect="1"/>
        </xdr:cNvPicPr>
      </xdr:nvPicPr>
      <xdr:blipFill>
        <a:blip r:link="rId60"/>
        <a:stretch>
          <a:fillRect/>
        </a:stretch>
      </xdr:blipFill>
      <xdr:spPr>
        <a:xfrm>
          <a:off x="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123825</xdr:rowOff>
    </xdr:to>
    <xdr:pic>
      <xdr:nvPicPr>
        <xdr:cNvPr id="857" name="Picture 857" descr="Bosnia-Herzegovina"/>
        <xdr:cNvPicPr preferRelativeResize="1">
          <a:picLocks noChangeAspect="1"/>
        </xdr:cNvPicPr>
      </xdr:nvPicPr>
      <xdr:blipFill>
        <a:blip r:link="rId61"/>
        <a:stretch>
          <a:fillRect/>
        </a:stretch>
      </xdr:blipFill>
      <xdr:spPr>
        <a:xfrm>
          <a:off x="0" y="47053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123825</xdr:rowOff>
    </xdr:to>
    <xdr:pic>
      <xdr:nvPicPr>
        <xdr:cNvPr id="858" name="Picture 858" descr="Turkey"/>
        <xdr:cNvPicPr preferRelativeResize="1">
          <a:picLocks noChangeAspect="1"/>
        </xdr:cNvPicPr>
      </xdr:nvPicPr>
      <xdr:blipFill>
        <a:blip r:link="rId62"/>
        <a:stretch>
          <a:fillRect/>
        </a:stretch>
      </xdr:blipFill>
      <xdr:spPr>
        <a:xfrm>
          <a:off x="0" y="1466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859" name="Picture 859" descr="Iran"/>
        <xdr:cNvPicPr preferRelativeResize="1">
          <a:picLocks noChangeAspect="1"/>
        </xdr:cNvPicPr>
      </xdr:nvPicPr>
      <xdr:blipFill>
        <a:blip r:link="rId63"/>
        <a:stretch>
          <a:fillRect/>
        </a:stretch>
      </xdr:blipFill>
      <xdr:spPr>
        <a:xfrm>
          <a:off x="0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pic>
      <xdr:nvPicPr>
        <xdr:cNvPr id="860" name="Picture 860" descr="Peru"/>
        <xdr:cNvPicPr preferRelativeResize="1">
          <a:picLocks noChangeAspect="1"/>
        </xdr:cNvPicPr>
      </xdr:nvPicPr>
      <xdr:blipFill>
        <a:blip r:link="rId64"/>
        <a:stretch>
          <a:fillRect/>
        </a:stretch>
      </xdr:blipFill>
      <xdr:spPr>
        <a:xfrm>
          <a:off x="0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123825</xdr:rowOff>
    </xdr:to>
    <xdr:pic>
      <xdr:nvPicPr>
        <xdr:cNvPr id="861" name="Picture 861" descr="Sweden"/>
        <xdr:cNvPicPr preferRelativeResize="1">
          <a:picLocks noChangeAspect="1"/>
        </xdr:cNvPicPr>
      </xdr:nvPicPr>
      <xdr:blipFill>
        <a:blip r:link="rId65"/>
        <a:stretch>
          <a:fillRect/>
        </a:stretch>
      </xdr:blipFill>
      <xdr:spPr>
        <a:xfrm>
          <a:off x="0" y="48672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pic>
      <xdr:nvPicPr>
        <xdr:cNvPr id="862" name="Picture 862" descr="Guinea"/>
        <xdr:cNvPicPr preferRelativeResize="1">
          <a:picLocks noChangeAspect="1"/>
        </xdr:cNvPicPr>
      </xdr:nvPicPr>
      <xdr:blipFill>
        <a:blip r:link="rId66"/>
        <a:stretch>
          <a:fillRect/>
        </a:stretch>
      </xdr:blipFill>
      <xdr:spPr>
        <a:xfrm>
          <a:off x="0" y="470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863" name="Picture 863" descr="Uganda"/>
        <xdr:cNvPicPr preferRelativeResize="1">
          <a:picLocks noChangeAspect="1"/>
        </xdr:cNvPicPr>
      </xdr:nvPicPr>
      <xdr:blipFill>
        <a:blip r:link="rId67"/>
        <a:stretch>
          <a:fillRect/>
        </a:stretch>
      </xdr:blipFill>
      <xdr:spPr>
        <a:xfrm>
          <a:off x="0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pic>
      <xdr:nvPicPr>
        <xdr:cNvPr id="864" name="Picture 864" descr="Qatar"/>
        <xdr:cNvPicPr preferRelativeResize="1">
          <a:picLocks noChangeAspect="1"/>
        </xdr:cNvPicPr>
      </xdr:nvPicPr>
      <xdr:blipFill>
        <a:blip r:link="rId68"/>
        <a:stretch>
          <a:fillRect/>
        </a:stretch>
      </xdr:blipFill>
      <xdr:spPr>
        <a:xfrm>
          <a:off x="0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pic>
      <xdr:nvPicPr>
        <xdr:cNvPr id="865" name="Picture 865" descr="Kuwait"/>
        <xdr:cNvPicPr preferRelativeResize="1">
          <a:picLocks noChangeAspect="1"/>
        </xdr:cNvPicPr>
      </xdr:nvPicPr>
      <xdr:blipFill>
        <a:blip r:link="rId69"/>
        <a:stretch>
          <a:fillRect/>
        </a:stretch>
      </xdr:blipFill>
      <xdr:spPr>
        <a:xfrm>
          <a:off x="0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pic>
      <xdr:nvPicPr>
        <xdr:cNvPr id="866" name="Picture 866" descr="Oman"/>
        <xdr:cNvPicPr preferRelativeResize="1">
          <a:picLocks noChangeAspect="1"/>
        </xdr:cNvPicPr>
      </xdr:nvPicPr>
      <xdr:blipFill>
        <a:blip r:link="rId70"/>
        <a:stretch>
          <a:fillRect/>
        </a:stretch>
      </xdr:blipFill>
      <xdr:spPr>
        <a:xfrm>
          <a:off x="0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123825</xdr:rowOff>
    </xdr:to>
    <xdr:pic>
      <xdr:nvPicPr>
        <xdr:cNvPr id="867" name="Picture 867" descr="Albania"/>
        <xdr:cNvPicPr preferRelativeResize="1">
          <a:picLocks noChangeAspect="1"/>
        </xdr:cNvPicPr>
      </xdr:nvPicPr>
      <xdr:blipFill>
        <a:blip r:link="rId71"/>
        <a:stretch>
          <a:fillRect/>
        </a:stretch>
      </xdr:blipFill>
      <xdr:spPr>
        <a:xfrm>
          <a:off x="0" y="50292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pic>
      <xdr:nvPicPr>
        <xdr:cNvPr id="868" name="Picture 868" descr="Canada"/>
        <xdr:cNvPicPr preferRelativeResize="1">
          <a:picLocks noChangeAspect="1"/>
        </xdr:cNvPicPr>
      </xdr:nvPicPr>
      <xdr:blipFill>
        <a:blip r:link="rId72"/>
        <a:stretch>
          <a:fillRect/>
        </a:stretch>
      </xdr:blipFill>
      <xdr:spPr>
        <a:xfrm>
          <a:off x="0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pic>
      <xdr:nvPicPr>
        <xdr:cNvPr id="869" name="Picture 869" descr="Bolivia"/>
        <xdr:cNvPicPr preferRelativeResize="1">
          <a:picLocks noChangeAspect="1"/>
        </xdr:cNvPicPr>
      </xdr:nvPicPr>
      <xdr:blipFill>
        <a:blip r:link="rId73"/>
        <a:stretch>
          <a:fillRect/>
        </a:stretch>
      </xdr:blipFill>
      <xdr:spPr>
        <a:xfrm>
          <a:off x="0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pic>
      <xdr:nvPicPr>
        <xdr:cNvPr id="870" name="Picture 870" descr="Congo"/>
        <xdr:cNvPicPr preferRelativeResize="1">
          <a:picLocks noChangeAspect="1"/>
        </xdr:cNvPicPr>
      </xdr:nvPicPr>
      <xdr:blipFill>
        <a:blip r:link="rId74"/>
        <a:stretch>
          <a:fillRect/>
        </a:stretch>
      </xdr:blipFill>
      <xdr:spPr>
        <a:xfrm>
          <a:off x="0" y="5029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pic>
      <xdr:nvPicPr>
        <xdr:cNvPr id="871" name="Picture 871" descr="Libya"/>
        <xdr:cNvPicPr preferRelativeResize="1">
          <a:picLocks noChangeAspect="1"/>
        </xdr:cNvPicPr>
      </xdr:nvPicPr>
      <xdr:blipFill>
        <a:blip r:link="rId75"/>
        <a:stretch>
          <a:fillRect/>
        </a:stretch>
      </xdr:blipFill>
      <xdr:spPr>
        <a:xfrm>
          <a:off x="0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pic>
      <xdr:nvPicPr>
        <xdr:cNvPr id="872" name="Picture 872" descr="Zimbabwe"/>
        <xdr:cNvPicPr preferRelativeResize="1">
          <a:picLocks noChangeAspect="1"/>
        </xdr:cNvPicPr>
      </xdr:nvPicPr>
      <xdr:blipFill>
        <a:blip r:link="rId76"/>
        <a:stretch>
          <a:fillRect/>
        </a:stretch>
      </xdr:blipFill>
      <xdr:spPr>
        <a:xfrm>
          <a:off x="0" y="5191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123825</xdr:rowOff>
    </xdr:to>
    <xdr:pic>
      <xdr:nvPicPr>
        <xdr:cNvPr id="873" name="Picture 873" descr="Slovenia"/>
        <xdr:cNvPicPr preferRelativeResize="1">
          <a:picLocks noChangeAspect="1"/>
        </xdr:cNvPicPr>
      </xdr:nvPicPr>
      <xdr:blipFill>
        <a:blip r:link="rId77"/>
        <a:stretch>
          <a:fillRect/>
        </a:stretch>
      </xdr:blipFill>
      <xdr:spPr>
        <a:xfrm>
          <a:off x="0" y="38957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123825</xdr:rowOff>
    </xdr:to>
    <xdr:pic>
      <xdr:nvPicPr>
        <xdr:cNvPr id="874" name="Picture 874" descr="Croatia"/>
        <xdr:cNvPicPr preferRelativeResize="1">
          <a:picLocks noChangeAspect="1"/>
        </xdr:cNvPicPr>
      </xdr:nvPicPr>
      <xdr:blipFill>
        <a:blip r:link="rId78"/>
        <a:stretch>
          <a:fillRect/>
        </a:stretch>
      </xdr:blipFill>
      <xdr:spPr>
        <a:xfrm>
          <a:off x="0" y="27622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123825</xdr:rowOff>
    </xdr:to>
    <xdr:pic>
      <xdr:nvPicPr>
        <xdr:cNvPr id="875" name="Picture 875" descr="Bulgaria"/>
        <xdr:cNvPicPr preferRelativeResize="1">
          <a:picLocks noChangeAspect="1"/>
        </xdr:cNvPicPr>
      </xdr:nvPicPr>
      <xdr:blipFill>
        <a:blip r:link="rId79"/>
        <a:stretch>
          <a:fillRect/>
        </a:stretch>
      </xdr:blipFill>
      <xdr:spPr>
        <a:xfrm>
          <a:off x="0" y="51911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pic>
      <xdr:nvPicPr>
        <xdr:cNvPr id="876" name="Picture 876" descr="Bahrain"/>
        <xdr:cNvPicPr preferRelativeResize="1">
          <a:picLocks noChangeAspect="1"/>
        </xdr:cNvPicPr>
      </xdr:nvPicPr>
      <xdr:blipFill>
        <a:blip r:link="rId80"/>
        <a:stretch>
          <a:fillRect/>
        </a:stretch>
      </xdr:blipFill>
      <xdr:spPr>
        <a:xfrm>
          <a:off x="0" y="55149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877" name="Picture 877" descr="Thailand"/>
        <xdr:cNvPicPr preferRelativeResize="1">
          <a:picLocks noChangeAspect="1"/>
        </xdr:cNvPicPr>
      </xdr:nvPicPr>
      <xdr:blipFill>
        <a:blip r:link="rId81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878" name="Picture 878" descr="Gambia"/>
        <xdr:cNvPicPr preferRelativeResize="1">
          <a:picLocks noChangeAspect="1"/>
        </xdr:cNvPicPr>
      </xdr:nvPicPr>
      <xdr:blipFill>
        <a:blip r:link="rId82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123825</xdr:rowOff>
    </xdr:to>
    <xdr:pic>
      <xdr:nvPicPr>
        <xdr:cNvPr id="879" name="Picture 879" descr="Cyprus"/>
        <xdr:cNvPicPr preferRelativeResize="1">
          <a:picLocks noChangeAspect="1"/>
        </xdr:cNvPicPr>
      </xdr:nvPicPr>
      <xdr:blipFill>
        <a:blip r:link="rId83"/>
        <a:stretch>
          <a:fillRect/>
        </a:stretch>
      </xdr:blipFill>
      <xdr:spPr>
        <a:xfrm>
          <a:off x="0" y="55149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123825</xdr:rowOff>
    </xdr:to>
    <xdr:pic>
      <xdr:nvPicPr>
        <xdr:cNvPr id="880" name="Picture 880" descr="Austria"/>
        <xdr:cNvPicPr preferRelativeResize="1">
          <a:picLocks noChangeAspect="1"/>
        </xdr:cNvPicPr>
      </xdr:nvPicPr>
      <xdr:blipFill>
        <a:blip r:link="rId84"/>
        <a:stretch>
          <a:fillRect/>
        </a:stretch>
      </xdr:blipFill>
      <xdr:spPr>
        <a:xfrm>
          <a:off x="0" y="58388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34</xdr:row>
      <xdr:rowOff>123825</xdr:rowOff>
    </xdr:to>
    <xdr:pic>
      <xdr:nvPicPr>
        <xdr:cNvPr id="881" name="Picture 881" descr="Finland"/>
        <xdr:cNvPicPr preferRelativeResize="1">
          <a:picLocks noChangeAspect="1"/>
        </xdr:cNvPicPr>
      </xdr:nvPicPr>
      <xdr:blipFill>
        <a:blip r:link="rId85"/>
        <a:stretch>
          <a:fillRect/>
        </a:stretch>
      </xdr:blipFill>
      <xdr:spPr>
        <a:xfrm>
          <a:off x="0" y="56769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123825</xdr:rowOff>
    </xdr:to>
    <xdr:pic>
      <xdr:nvPicPr>
        <xdr:cNvPr id="882" name="Picture 882" descr="Republic of Ireland"/>
        <xdr:cNvPicPr preferRelativeResize="1">
          <a:picLocks noChangeAspect="1"/>
        </xdr:cNvPicPr>
      </xdr:nvPicPr>
      <xdr:blipFill>
        <a:blip r:link="rId86"/>
        <a:stretch>
          <a:fillRect/>
        </a:stretch>
      </xdr:blipFill>
      <xdr:spPr>
        <a:xfrm>
          <a:off x="0" y="53530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883" name="Picture 883" descr="Korea DPR"/>
        <xdr:cNvPicPr preferRelativeResize="1">
          <a:picLocks noChangeAspect="1"/>
        </xdr:cNvPicPr>
      </xdr:nvPicPr>
      <xdr:blipFill>
        <a:blip r:link="rId87"/>
        <a:stretch>
          <a:fillRect/>
        </a:stretch>
      </xdr:blipFill>
      <xdr:spPr>
        <a:xfrm>
          <a:off x="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884" name="Picture 884" descr="Tanzania"/>
        <xdr:cNvPicPr preferRelativeResize="1">
          <a:picLocks noChangeAspect="1"/>
        </xdr:cNvPicPr>
      </xdr:nvPicPr>
      <xdr:blipFill>
        <a:blip r:link="rId88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885" name="Picture 885" descr="Vietnam"/>
        <xdr:cNvPicPr preferRelativeResize="1">
          <a:picLocks noChangeAspect="1"/>
        </xdr:cNvPicPr>
      </xdr:nvPicPr>
      <xdr:blipFill>
        <a:blip r:link="rId89"/>
        <a:stretch>
          <a:fillRect/>
        </a:stretch>
      </xdr:blipFill>
      <xdr:spPr>
        <a:xfrm>
          <a:off x="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pic>
      <xdr:nvPicPr>
        <xdr:cNvPr id="886" name="Picture 886" descr="Kazakhstan"/>
        <xdr:cNvPicPr preferRelativeResize="1">
          <a:picLocks noChangeAspect="1"/>
        </xdr:cNvPicPr>
      </xdr:nvPicPr>
      <xdr:blipFill>
        <a:blip r:link="rId90"/>
        <a:stretch>
          <a:fillRect/>
        </a:stretch>
      </xdr:blipFill>
      <xdr:spPr>
        <a:xfrm>
          <a:off x="0" y="5838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887" name="Picture 887" descr="Laos"/>
        <xdr:cNvPicPr preferRelativeResize="1">
          <a:picLocks noChangeAspect="1"/>
        </xdr:cNvPicPr>
      </xdr:nvPicPr>
      <xdr:blipFill>
        <a:blip r:link="rId91"/>
        <a:stretch>
          <a:fillRect/>
        </a:stretch>
      </xdr:blipFill>
      <xdr:spPr>
        <a:xfrm>
          <a:off x="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888" name="Picture 888" descr="Guinea-Bissau"/>
        <xdr:cNvPicPr preferRelativeResize="1">
          <a:picLocks noChangeAspect="1"/>
        </xdr:cNvPicPr>
      </xdr:nvPicPr>
      <xdr:blipFill>
        <a:blip r:link="rId92"/>
        <a:stretch>
          <a:fillRect/>
        </a:stretch>
      </xdr:blipFill>
      <xdr:spPr>
        <a:xfrm>
          <a:off x="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123825</xdr:rowOff>
    </xdr:to>
    <xdr:pic>
      <xdr:nvPicPr>
        <xdr:cNvPr id="889" name="Picture 889" descr="Switzerland"/>
        <xdr:cNvPicPr preferRelativeResize="1">
          <a:picLocks noChangeAspect="1"/>
        </xdr:cNvPicPr>
      </xdr:nvPicPr>
      <xdr:blipFill>
        <a:blip r:link="rId93"/>
        <a:stretch>
          <a:fillRect/>
        </a:stretch>
      </xdr:blipFill>
      <xdr:spPr>
        <a:xfrm>
          <a:off x="0" y="61626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123825</xdr:rowOff>
    </xdr:to>
    <xdr:pic>
      <xdr:nvPicPr>
        <xdr:cNvPr id="890" name="Picture 890" descr="Georgia"/>
        <xdr:cNvPicPr preferRelativeResize="1">
          <a:picLocks noChangeAspect="1"/>
        </xdr:cNvPicPr>
      </xdr:nvPicPr>
      <xdr:blipFill>
        <a:blip r:link="rId94"/>
        <a:stretch>
          <a:fillRect/>
        </a:stretch>
      </xdr:blipFill>
      <xdr:spPr>
        <a:xfrm>
          <a:off x="0" y="60007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1" name="Picture 891" descr="Congo DR"/>
        <xdr:cNvPicPr preferRelativeResize="1">
          <a:picLocks noChangeAspect="1"/>
        </xdr:cNvPicPr>
      </xdr:nvPicPr>
      <xdr:blipFill>
        <a:blip r:link="rId95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2" name="Picture 892" descr="Jordan"/>
        <xdr:cNvPicPr preferRelativeResize="1">
          <a:picLocks noChangeAspect="1"/>
        </xdr:cNvPicPr>
      </xdr:nvPicPr>
      <xdr:blipFill>
        <a:blip r:link="rId96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3" name="Picture 893" descr="Rwanda"/>
        <xdr:cNvPicPr preferRelativeResize="1">
          <a:picLocks noChangeAspect="1"/>
        </xdr:cNvPicPr>
      </xdr:nvPicPr>
      <xdr:blipFill>
        <a:blip r:link="rId97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4" name="Picture 894" descr="Sudan"/>
        <xdr:cNvPicPr preferRelativeResize="1">
          <a:picLocks noChangeAspect="1"/>
        </xdr:cNvPicPr>
      </xdr:nvPicPr>
      <xdr:blipFill>
        <a:blip r:link="rId98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5" name="Picture 895" descr="Namibia"/>
        <xdr:cNvPicPr preferRelativeResize="1">
          <a:picLocks noChangeAspect="1"/>
        </xdr:cNvPicPr>
      </xdr:nvPicPr>
      <xdr:blipFill>
        <a:blip r:link="rId99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6" name="Picture 896" descr="United Arab Emirates"/>
        <xdr:cNvPicPr preferRelativeResize="1">
          <a:picLocks noChangeAspect="1"/>
        </xdr:cNvPicPr>
      </xdr:nvPicPr>
      <xdr:blipFill>
        <a:blip r:link="rId100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7" name="Picture 897" descr="Iraq"/>
        <xdr:cNvPicPr preferRelativeResize="1">
          <a:picLocks noChangeAspect="1"/>
        </xdr:cNvPicPr>
      </xdr:nvPicPr>
      <xdr:blipFill>
        <a:blip r:link="rId101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898" name="Picture 898" descr="Uzbekistan"/>
        <xdr:cNvPicPr preferRelativeResize="1">
          <a:picLocks noChangeAspect="1"/>
        </xdr:cNvPicPr>
      </xdr:nvPicPr>
      <xdr:blipFill>
        <a:blip r:link="rId102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pic>
      <xdr:nvPicPr>
        <xdr:cNvPr id="899" name="Picture 899" descr="Chad"/>
        <xdr:cNvPicPr preferRelativeResize="1">
          <a:picLocks noChangeAspect="1"/>
        </xdr:cNvPicPr>
      </xdr:nvPicPr>
      <xdr:blipFill>
        <a:blip r:link="rId103"/>
        <a:stretch>
          <a:fillRect/>
        </a:stretch>
      </xdr:blipFill>
      <xdr:spPr>
        <a:xfrm>
          <a:off x="0" y="6000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900" name="Picture 900" descr="India"/>
        <xdr:cNvPicPr preferRelativeResize="1">
          <a:picLocks noChangeAspect="1"/>
        </xdr:cNvPicPr>
      </xdr:nvPicPr>
      <xdr:blipFill>
        <a:blip r:link="rId104"/>
        <a:stretch>
          <a:fillRect/>
        </a:stretch>
      </xdr:blipFill>
      <xdr:spPr>
        <a:xfrm>
          <a:off x="0" y="4867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901" name="Picture 901" descr="Eritrea"/>
        <xdr:cNvPicPr preferRelativeResize="1">
          <a:picLocks noChangeAspect="1"/>
        </xdr:cNvPicPr>
      </xdr:nvPicPr>
      <xdr:blipFill>
        <a:blip r:link="rId105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pic>
      <xdr:nvPicPr>
        <xdr:cNvPr id="902" name="Picture 902" descr="Mongolia"/>
        <xdr:cNvPicPr preferRelativeResize="1">
          <a:picLocks noChangeAspect="1"/>
        </xdr:cNvPicPr>
      </xdr:nvPicPr>
      <xdr:blipFill>
        <a:blip r:link="rId106"/>
        <a:stretch>
          <a:fillRect/>
        </a:stretch>
      </xdr:blipFill>
      <xdr:spPr>
        <a:xfrm>
          <a:off x="0" y="6324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pic>
      <xdr:nvPicPr>
        <xdr:cNvPr id="903" name="Picture 903" descr="Sierra Leone"/>
        <xdr:cNvPicPr preferRelativeResize="1">
          <a:picLocks noChangeAspect="1"/>
        </xdr:cNvPicPr>
      </xdr:nvPicPr>
      <xdr:blipFill>
        <a:blip r:link="rId107"/>
        <a:stretch>
          <a:fillRect/>
        </a:stretch>
      </xdr:blipFill>
      <xdr:spPr>
        <a:xfrm>
          <a:off x="0" y="6162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pic>
      <xdr:nvPicPr>
        <xdr:cNvPr id="904" name="Picture 904" descr="Fiji"/>
        <xdr:cNvPicPr preferRelativeResize="1">
          <a:picLocks noChangeAspect="1"/>
        </xdr:cNvPicPr>
      </xdr:nvPicPr>
      <xdr:blipFill>
        <a:blip r:link="rId108"/>
        <a:stretch>
          <a:fillRect/>
        </a:stretch>
      </xdr:blipFill>
      <xdr:spPr>
        <a:xfrm>
          <a:off x="0" y="69723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123825</xdr:rowOff>
    </xdr:to>
    <xdr:pic>
      <xdr:nvPicPr>
        <xdr:cNvPr id="905" name="Picture 905" descr="Iceland"/>
        <xdr:cNvPicPr preferRelativeResize="1">
          <a:picLocks noChangeAspect="1"/>
        </xdr:cNvPicPr>
      </xdr:nvPicPr>
      <xdr:blipFill>
        <a:blip r:link="rId109"/>
        <a:stretch>
          <a:fillRect/>
        </a:stretch>
      </xdr:blipFill>
      <xdr:spPr>
        <a:xfrm>
          <a:off x="0" y="6486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123825</xdr:rowOff>
    </xdr:to>
    <xdr:pic>
      <xdr:nvPicPr>
        <xdr:cNvPr id="906" name="Picture 906" descr="Belgium"/>
        <xdr:cNvPicPr preferRelativeResize="1">
          <a:picLocks noChangeAspect="1"/>
        </xdr:cNvPicPr>
      </xdr:nvPicPr>
      <xdr:blipFill>
        <a:blip r:link="rId110"/>
        <a:stretch>
          <a:fillRect/>
        </a:stretch>
      </xdr:blipFill>
      <xdr:spPr>
        <a:xfrm>
          <a:off x="0" y="63246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123825</xdr:rowOff>
    </xdr:to>
    <xdr:pic>
      <xdr:nvPicPr>
        <xdr:cNvPr id="907" name="Picture 907" descr="Moldova"/>
        <xdr:cNvPicPr preferRelativeResize="1">
          <a:picLocks noChangeAspect="1"/>
        </xdr:cNvPicPr>
      </xdr:nvPicPr>
      <xdr:blipFill>
        <a:blip r:link="rId111"/>
        <a:stretch>
          <a:fillRect/>
        </a:stretch>
      </xdr:blipFill>
      <xdr:spPr>
        <a:xfrm>
          <a:off x="0" y="69723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pic>
      <xdr:nvPicPr>
        <xdr:cNvPr id="908" name="Picture 908" descr="Myanmar"/>
        <xdr:cNvPicPr preferRelativeResize="1">
          <a:picLocks noChangeAspect="1"/>
        </xdr:cNvPicPr>
      </xdr:nvPicPr>
      <xdr:blipFill>
        <a:blip r:link="rId112"/>
        <a:stretch>
          <a:fillRect/>
        </a:stretch>
      </xdr:blipFill>
      <xdr:spPr>
        <a:xfrm>
          <a:off x="0" y="713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pic>
      <xdr:nvPicPr>
        <xdr:cNvPr id="909" name="Picture 909" descr="Suriname"/>
        <xdr:cNvPicPr preferRelativeResize="1">
          <a:picLocks noChangeAspect="1"/>
        </xdr:cNvPicPr>
      </xdr:nvPicPr>
      <xdr:blipFill>
        <a:blip r:link="rId113"/>
        <a:stretch>
          <a:fillRect/>
        </a:stretch>
      </xdr:blipFill>
      <xdr:spPr>
        <a:xfrm>
          <a:off x="0" y="713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123825</xdr:rowOff>
    </xdr:to>
    <xdr:pic>
      <xdr:nvPicPr>
        <xdr:cNvPr id="910" name="Picture 910" descr="Malta"/>
        <xdr:cNvPicPr preferRelativeResize="1">
          <a:picLocks noChangeAspect="1"/>
        </xdr:cNvPicPr>
      </xdr:nvPicPr>
      <xdr:blipFill>
        <a:blip r:link="rId114"/>
        <a:stretch>
          <a:fillRect/>
        </a:stretch>
      </xdr:blipFill>
      <xdr:spPr>
        <a:xfrm>
          <a:off x="0" y="71342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pic>
      <xdr:nvPicPr>
        <xdr:cNvPr id="911" name="Picture 911" descr="Benin"/>
        <xdr:cNvPicPr preferRelativeResize="1">
          <a:picLocks noChangeAspect="1"/>
        </xdr:cNvPicPr>
      </xdr:nvPicPr>
      <xdr:blipFill>
        <a:blip r:link="rId115"/>
        <a:stretch>
          <a:fillRect/>
        </a:stretch>
      </xdr:blipFill>
      <xdr:spPr>
        <a:xfrm>
          <a:off x="0" y="7296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123825</xdr:rowOff>
    </xdr:to>
    <xdr:pic>
      <xdr:nvPicPr>
        <xdr:cNvPr id="912" name="Picture 912" descr="Denmark"/>
        <xdr:cNvPicPr preferRelativeResize="1">
          <a:picLocks noChangeAspect="1"/>
        </xdr:cNvPicPr>
      </xdr:nvPicPr>
      <xdr:blipFill>
        <a:blip r:link="rId116"/>
        <a:stretch>
          <a:fillRect/>
        </a:stretch>
      </xdr:blipFill>
      <xdr:spPr>
        <a:xfrm>
          <a:off x="0" y="68103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123825</xdr:rowOff>
    </xdr:to>
    <xdr:pic>
      <xdr:nvPicPr>
        <xdr:cNvPr id="913" name="Picture 913" descr="Israel"/>
        <xdr:cNvPicPr preferRelativeResize="1">
          <a:picLocks noChangeAspect="1"/>
        </xdr:cNvPicPr>
      </xdr:nvPicPr>
      <xdr:blipFill>
        <a:blip r:link="rId117"/>
        <a:stretch>
          <a:fillRect/>
        </a:stretch>
      </xdr:blipFill>
      <xdr:spPr>
        <a:xfrm>
          <a:off x="0" y="72961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123825</xdr:rowOff>
    </xdr:to>
    <xdr:pic>
      <xdr:nvPicPr>
        <xdr:cNvPr id="914" name="Picture 914" descr="Azerbaijan"/>
        <xdr:cNvPicPr preferRelativeResize="1">
          <a:picLocks noChangeAspect="1"/>
        </xdr:cNvPicPr>
      </xdr:nvPicPr>
      <xdr:blipFill>
        <a:blip r:link="rId118"/>
        <a:stretch>
          <a:fillRect/>
        </a:stretch>
      </xdr:blipFill>
      <xdr:spPr>
        <a:xfrm>
          <a:off x="0" y="74580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123825</xdr:rowOff>
    </xdr:to>
    <xdr:pic>
      <xdr:nvPicPr>
        <xdr:cNvPr id="915" name="Picture 915" descr="Armenia"/>
        <xdr:cNvPicPr preferRelativeResize="1">
          <a:picLocks noChangeAspect="1"/>
        </xdr:cNvPicPr>
      </xdr:nvPicPr>
      <xdr:blipFill>
        <a:blip r:link="rId119"/>
        <a:stretch>
          <a:fillRect/>
        </a:stretch>
      </xdr:blipFill>
      <xdr:spPr>
        <a:xfrm>
          <a:off x="0" y="66484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16" name="Picture 916" descr="Togo"/>
        <xdr:cNvPicPr preferRelativeResize="1">
          <a:picLocks noChangeAspect="1"/>
        </xdr:cNvPicPr>
      </xdr:nvPicPr>
      <xdr:blipFill>
        <a:blip r:link="rId120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17" name="Picture 917" descr="El Salvador"/>
        <xdr:cNvPicPr preferRelativeResize="1">
          <a:picLocks noChangeAspect="1"/>
        </xdr:cNvPicPr>
      </xdr:nvPicPr>
      <xdr:blipFill>
        <a:blip r:link="rId121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18" name="Picture 918" descr="Panama"/>
        <xdr:cNvPicPr preferRelativeResize="1">
          <a:picLocks noChangeAspect="1"/>
        </xdr:cNvPicPr>
      </xdr:nvPicPr>
      <xdr:blipFill>
        <a:blip r:link="rId122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19" name="Picture 919" descr="Malawi"/>
        <xdr:cNvPicPr preferRelativeResize="1">
          <a:picLocks noChangeAspect="1"/>
        </xdr:cNvPicPr>
      </xdr:nvPicPr>
      <xdr:blipFill>
        <a:blip r:link="rId123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20" name="Picture 920" descr="Trinidad and Tobago"/>
        <xdr:cNvPicPr preferRelativeResize="1">
          <a:picLocks noChangeAspect="1"/>
        </xdr:cNvPicPr>
      </xdr:nvPicPr>
      <xdr:blipFill>
        <a:blip r:link="rId124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21" name="Picture 921" descr="Haiti"/>
        <xdr:cNvPicPr preferRelativeResize="1">
          <a:picLocks noChangeAspect="1"/>
        </xdr:cNvPicPr>
      </xdr:nvPicPr>
      <xdr:blipFill>
        <a:blip r:link="rId125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22" name="Picture 922" descr="Syria"/>
        <xdr:cNvPicPr preferRelativeResize="1">
          <a:picLocks noChangeAspect="1"/>
        </xdr:cNvPicPr>
      </xdr:nvPicPr>
      <xdr:blipFill>
        <a:blip r:link="rId126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23" name="Picture 923" descr="Cape Verde Islands"/>
        <xdr:cNvPicPr preferRelativeResize="1">
          <a:picLocks noChangeAspect="1"/>
        </xdr:cNvPicPr>
      </xdr:nvPicPr>
      <xdr:blipFill>
        <a:blip r:link="rId127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pic>
      <xdr:nvPicPr>
        <xdr:cNvPr id="924" name="Picture 924" descr="Yemen"/>
        <xdr:cNvPicPr preferRelativeResize="1">
          <a:picLocks noChangeAspect="1"/>
        </xdr:cNvPicPr>
      </xdr:nvPicPr>
      <xdr:blipFill>
        <a:blip r:link="rId128"/>
        <a:stretch>
          <a:fillRect/>
        </a:stretch>
      </xdr:blipFill>
      <xdr:spPr>
        <a:xfrm>
          <a:off x="0" y="762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123825</xdr:rowOff>
    </xdr:to>
    <xdr:pic>
      <xdr:nvPicPr>
        <xdr:cNvPr id="925" name="Picture 925" descr="Faroe Islands"/>
        <xdr:cNvPicPr preferRelativeResize="1">
          <a:picLocks noChangeAspect="1"/>
        </xdr:cNvPicPr>
      </xdr:nvPicPr>
      <xdr:blipFill>
        <a:blip r:link="rId129"/>
        <a:stretch>
          <a:fillRect/>
        </a:stretch>
      </xdr:blipFill>
      <xdr:spPr>
        <a:xfrm>
          <a:off x="0" y="76200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26" name="Picture 926" descr="Botswana"/>
        <xdr:cNvPicPr preferRelativeResize="1">
          <a:picLocks noChangeAspect="1"/>
        </xdr:cNvPicPr>
      </xdr:nvPicPr>
      <xdr:blipFill>
        <a:blip r:link="rId130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27" name="Picture 927" descr="Singapore"/>
        <xdr:cNvPicPr preferRelativeResize="1">
          <a:picLocks noChangeAspect="1"/>
        </xdr:cNvPicPr>
      </xdr:nvPicPr>
      <xdr:blipFill>
        <a:blip r:link="rId131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28" name="Picture 928" descr="Guatemala"/>
        <xdr:cNvPicPr preferRelativeResize="1">
          <a:picLocks noChangeAspect="1"/>
        </xdr:cNvPicPr>
      </xdr:nvPicPr>
      <xdr:blipFill>
        <a:blip r:link="rId132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29" name="Picture 929" descr="Turkmenistan"/>
        <xdr:cNvPicPr preferRelativeResize="1">
          <a:picLocks noChangeAspect="1"/>
        </xdr:cNvPicPr>
      </xdr:nvPicPr>
      <xdr:blipFill>
        <a:blip r:link="rId133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0" name="Picture 930" descr="Equatorial Guinea"/>
        <xdr:cNvPicPr preferRelativeResize="1">
          <a:picLocks noChangeAspect="1"/>
        </xdr:cNvPicPr>
      </xdr:nvPicPr>
      <xdr:blipFill>
        <a:blip r:link="rId134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1" name="Picture 931" descr="Bangladesh"/>
        <xdr:cNvPicPr preferRelativeResize="1">
          <a:picLocks noChangeAspect="1"/>
        </xdr:cNvPicPr>
      </xdr:nvPicPr>
      <xdr:blipFill>
        <a:blip r:link="rId135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2" name="Picture 932" descr="Burundi"/>
        <xdr:cNvPicPr preferRelativeResize="1">
          <a:picLocks noChangeAspect="1"/>
        </xdr:cNvPicPr>
      </xdr:nvPicPr>
      <xdr:blipFill>
        <a:blip r:link="rId136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3" name="Picture 933" descr="Tajikistan"/>
        <xdr:cNvPicPr preferRelativeResize="1">
          <a:picLocks noChangeAspect="1"/>
        </xdr:cNvPicPr>
      </xdr:nvPicPr>
      <xdr:blipFill>
        <a:blip r:link="rId137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4" name="Picture 934" descr="Lebanon"/>
        <xdr:cNvPicPr preferRelativeResize="1">
          <a:picLocks noChangeAspect="1"/>
        </xdr:cNvPicPr>
      </xdr:nvPicPr>
      <xdr:blipFill>
        <a:blip r:link="rId138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5" name="Picture 935" descr="Cuba"/>
        <xdr:cNvPicPr preferRelativeResize="1">
          <a:picLocks noChangeAspect="1"/>
        </xdr:cNvPicPr>
      </xdr:nvPicPr>
      <xdr:blipFill>
        <a:blip r:link="rId139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6" name="Picture 936" descr="Swaziland"/>
        <xdr:cNvPicPr preferRelativeResize="1">
          <a:picLocks noChangeAspect="1"/>
        </xdr:cNvPicPr>
      </xdr:nvPicPr>
      <xdr:blipFill>
        <a:blip r:link="rId140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7" name="Picture 937" descr="Pakistan"/>
        <xdr:cNvPicPr preferRelativeResize="1">
          <a:picLocks noChangeAspect="1"/>
        </xdr:cNvPicPr>
      </xdr:nvPicPr>
      <xdr:blipFill>
        <a:blip r:link="rId141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8" name="Picture 938" descr="Nepal"/>
        <xdr:cNvPicPr preferRelativeResize="1">
          <a:picLocks noChangeAspect="1"/>
        </xdr:cNvPicPr>
      </xdr:nvPicPr>
      <xdr:blipFill>
        <a:blip r:link="rId142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39" name="Picture 939" descr="Sri Lanka"/>
        <xdr:cNvPicPr preferRelativeResize="1">
          <a:picLocks noChangeAspect="1"/>
        </xdr:cNvPicPr>
      </xdr:nvPicPr>
      <xdr:blipFill>
        <a:blip r:link="rId143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40" name="Picture 940" descr="Kyrgyzstan"/>
        <xdr:cNvPicPr preferRelativeResize="1">
          <a:picLocks noChangeAspect="1"/>
        </xdr:cNvPicPr>
      </xdr:nvPicPr>
      <xdr:blipFill>
        <a:blip r:link="rId144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41" name="Picture 941" descr="Liberia"/>
        <xdr:cNvPicPr preferRelativeResize="1">
          <a:picLocks noChangeAspect="1"/>
        </xdr:cNvPicPr>
      </xdr:nvPicPr>
      <xdr:blipFill>
        <a:blip r:link="rId145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42" name="Picture 942" descr="Mauritania"/>
        <xdr:cNvPicPr preferRelativeResize="1">
          <a:picLocks noChangeAspect="1"/>
        </xdr:cNvPicPr>
      </xdr:nvPicPr>
      <xdr:blipFill>
        <a:blip r:link="rId146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123825</xdr:rowOff>
    </xdr:to>
    <xdr:pic>
      <xdr:nvPicPr>
        <xdr:cNvPr id="943" name="Picture 943" descr="Luxembourg"/>
        <xdr:cNvPicPr preferRelativeResize="1">
          <a:picLocks noChangeAspect="1"/>
        </xdr:cNvPicPr>
      </xdr:nvPicPr>
      <xdr:blipFill>
        <a:blip r:link="rId147"/>
        <a:stretch>
          <a:fillRect/>
        </a:stretch>
      </xdr:blipFill>
      <xdr:spPr>
        <a:xfrm>
          <a:off x="0" y="77819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44" name="Picture 944" descr="Indonesia"/>
        <xdr:cNvPicPr preferRelativeResize="1">
          <a:picLocks noChangeAspect="1"/>
        </xdr:cNvPicPr>
      </xdr:nvPicPr>
      <xdr:blipFill>
        <a:blip r:link="rId148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45" name="Picture 945" descr="Madagascar"/>
        <xdr:cNvPicPr preferRelativeResize="1">
          <a:picLocks noChangeAspect="1"/>
        </xdr:cNvPicPr>
      </xdr:nvPicPr>
      <xdr:blipFill>
        <a:blip r:link="rId149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46" name="Picture 946" descr="Guyana"/>
        <xdr:cNvPicPr preferRelativeResize="1">
          <a:picLocks noChangeAspect="1"/>
        </xdr:cNvPicPr>
      </xdr:nvPicPr>
      <xdr:blipFill>
        <a:blip r:link="rId150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47" name="Picture 947" descr="Antigua and Barbuda"/>
        <xdr:cNvPicPr preferRelativeResize="1">
          <a:picLocks noChangeAspect="1"/>
        </xdr:cNvPicPr>
      </xdr:nvPicPr>
      <xdr:blipFill>
        <a:blip r:link="rId151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48" name="Picture 948" descr="Barbados"/>
        <xdr:cNvPicPr preferRelativeResize="1">
          <a:picLocks noChangeAspect="1"/>
        </xdr:cNvPicPr>
      </xdr:nvPicPr>
      <xdr:blipFill>
        <a:blip r:link="rId152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49" name="Picture 949" descr="Grenada"/>
        <xdr:cNvPicPr preferRelativeResize="1">
          <a:picLocks noChangeAspect="1"/>
        </xdr:cNvPicPr>
      </xdr:nvPicPr>
      <xdr:blipFill>
        <a:blip r:link="rId153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0" name="Picture 950" descr="Bermuda"/>
        <xdr:cNvPicPr preferRelativeResize="1">
          <a:picLocks noChangeAspect="1"/>
        </xdr:cNvPicPr>
      </xdr:nvPicPr>
      <xdr:blipFill>
        <a:blip r:link="rId154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1" name="Picture 951" descr="Hong Kong"/>
        <xdr:cNvPicPr preferRelativeResize="1">
          <a:picLocks noChangeAspect="1"/>
        </xdr:cNvPicPr>
      </xdr:nvPicPr>
      <xdr:blipFill>
        <a:blip r:link="rId155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2" name="Picture 952" descr="Maldives"/>
        <xdr:cNvPicPr preferRelativeResize="1">
          <a:picLocks noChangeAspect="1"/>
        </xdr:cNvPicPr>
      </xdr:nvPicPr>
      <xdr:blipFill>
        <a:blip r:link="rId156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3" name="Picture 953" descr="New Caledonia"/>
        <xdr:cNvPicPr preferRelativeResize="1">
          <a:picLocks noChangeAspect="1"/>
        </xdr:cNvPicPr>
      </xdr:nvPicPr>
      <xdr:blipFill>
        <a:blip r:link="rId157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4" name="Picture 954" descr="Lesotho"/>
        <xdr:cNvPicPr preferRelativeResize="1">
          <a:picLocks noChangeAspect="1"/>
        </xdr:cNvPicPr>
      </xdr:nvPicPr>
      <xdr:blipFill>
        <a:blip r:link="rId158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5" name="Picture 955" descr="Niger"/>
        <xdr:cNvPicPr preferRelativeResize="1">
          <a:picLocks noChangeAspect="1"/>
        </xdr:cNvPicPr>
      </xdr:nvPicPr>
      <xdr:blipFill>
        <a:blip r:link="rId159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6" name="Picture 956" descr="Cambodia"/>
        <xdr:cNvPicPr preferRelativeResize="1">
          <a:picLocks noChangeAspect="1"/>
        </xdr:cNvPicPr>
      </xdr:nvPicPr>
      <xdr:blipFill>
        <a:blip r:link="rId160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7" name="Picture 957" descr="Mauritius"/>
        <xdr:cNvPicPr preferRelativeResize="1">
          <a:picLocks noChangeAspect="1"/>
        </xdr:cNvPicPr>
      </xdr:nvPicPr>
      <xdr:blipFill>
        <a:blip r:link="rId161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58" name="Picture 958" descr="Somalia"/>
        <xdr:cNvPicPr preferRelativeResize="1">
          <a:picLocks noChangeAspect="1"/>
        </xdr:cNvPicPr>
      </xdr:nvPicPr>
      <xdr:blipFill>
        <a:blip r:link="rId162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pic>
      <xdr:nvPicPr>
        <xdr:cNvPr id="959" name="Picture 959" descr="Central African Republic"/>
        <xdr:cNvPicPr preferRelativeResize="1">
          <a:picLocks noChangeAspect="1"/>
        </xdr:cNvPicPr>
      </xdr:nvPicPr>
      <xdr:blipFill>
        <a:blip r:link="rId163"/>
        <a:stretch>
          <a:fillRect/>
        </a:stretch>
      </xdr:blipFill>
      <xdr:spPr>
        <a:xfrm>
          <a:off x="0" y="778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123825</xdr:rowOff>
    </xdr:to>
    <xdr:pic>
      <xdr:nvPicPr>
        <xdr:cNvPr id="960" name="Picture 960" descr="Liechtenstein"/>
        <xdr:cNvPicPr preferRelativeResize="1">
          <a:picLocks noChangeAspect="1"/>
        </xdr:cNvPicPr>
      </xdr:nvPicPr>
      <xdr:blipFill>
        <a:blip r:link="rId164"/>
        <a:stretch>
          <a:fillRect/>
        </a:stretch>
      </xdr:blipFill>
      <xdr:spPr>
        <a:xfrm>
          <a:off x="0" y="794385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1" name="Picture 961" descr="Vanuatu"/>
        <xdr:cNvPicPr preferRelativeResize="1">
          <a:picLocks noChangeAspect="1"/>
        </xdr:cNvPicPr>
      </xdr:nvPicPr>
      <xdr:blipFill>
        <a:blip r:link="rId165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2" name="Picture 962" descr="St. Kitts and Nevis"/>
        <xdr:cNvPicPr preferRelativeResize="1">
          <a:picLocks noChangeAspect="1"/>
        </xdr:cNvPicPr>
      </xdr:nvPicPr>
      <xdr:blipFill>
        <a:blip r:link="rId166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pic>
      <xdr:nvPicPr>
        <xdr:cNvPr id="963" name="Picture 963" descr="Malaysia"/>
        <xdr:cNvPicPr preferRelativeResize="1">
          <a:picLocks noChangeAspect="1"/>
        </xdr:cNvPicPr>
      </xdr:nvPicPr>
      <xdr:blipFill>
        <a:blip r:link="rId167"/>
        <a:stretch>
          <a:fillRect/>
        </a:stretch>
      </xdr:blipFill>
      <xdr:spPr>
        <a:xfrm>
          <a:off x="0" y="7943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4" name="Picture 964" descr="Nicaragua"/>
        <xdr:cNvPicPr preferRelativeResize="1">
          <a:picLocks noChangeAspect="1"/>
        </xdr:cNvPicPr>
      </xdr:nvPicPr>
      <xdr:blipFill>
        <a:blip r:link="rId168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5" name="Picture 965" descr="Puerto Rico"/>
        <xdr:cNvPicPr preferRelativeResize="1">
          <a:picLocks noChangeAspect="1"/>
        </xdr:cNvPicPr>
      </xdr:nvPicPr>
      <xdr:blipFill>
        <a:blip r:link="rId169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6" name="Picture 966" descr="Philippines"/>
        <xdr:cNvPicPr preferRelativeResize="1">
          <a:picLocks noChangeAspect="1"/>
        </xdr:cNvPicPr>
      </xdr:nvPicPr>
      <xdr:blipFill>
        <a:blip r:link="rId170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7" name="Picture 967" descr="St. Vincent and the Grenadines"/>
        <xdr:cNvPicPr preferRelativeResize="1">
          <a:picLocks noChangeAspect="1"/>
        </xdr:cNvPicPr>
      </xdr:nvPicPr>
      <xdr:blipFill>
        <a:blip r:link="rId171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8" name="Picture 968" descr="Netherlands Antilles"/>
        <xdr:cNvPicPr preferRelativeResize="1">
          <a:picLocks noChangeAspect="1"/>
        </xdr:cNvPicPr>
      </xdr:nvPicPr>
      <xdr:blipFill>
        <a:blip r:link="rId172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69" name="Picture 969" descr="Solomon Islands"/>
        <xdr:cNvPicPr preferRelativeResize="1">
          <a:picLocks noChangeAspect="1"/>
        </xdr:cNvPicPr>
      </xdr:nvPicPr>
      <xdr:blipFill>
        <a:blip r:link="rId173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0" name="Picture 970" descr="Palestine"/>
        <xdr:cNvPicPr preferRelativeResize="1">
          <a:picLocks noChangeAspect="1"/>
        </xdr:cNvPicPr>
      </xdr:nvPicPr>
      <xdr:blipFill>
        <a:blip r:link="rId174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1" name="Picture 971" descr="Turks and Caicos Islands"/>
        <xdr:cNvPicPr preferRelativeResize="1">
          <a:picLocks noChangeAspect="1"/>
        </xdr:cNvPicPr>
      </xdr:nvPicPr>
      <xdr:blipFill>
        <a:blip r:link="rId175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2" name="Picture 972" descr="Seychelles"/>
        <xdr:cNvPicPr preferRelativeResize="1">
          <a:picLocks noChangeAspect="1"/>
        </xdr:cNvPicPr>
      </xdr:nvPicPr>
      <xdr:blipFill>
        <a:blip r:link="rId176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3" name="Picture 973" descr="Comoros"/>
        <xdr:cNvPicPr preferRelativeResize="1">
          <a:picLocks noChangeAspect="1"/>
        </xdr:cNvPicPr>
      </xdr:nvPicPr>
      <xdr:blipFill>
        <a:blip r:link="rId177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4" name="Picture 974" descr="Bahamas"/>
        <xdr:cNvPicPr preferRelativeResize="1">
          <a:picLocks noChangeAspect="1"/>
        </xdr:cNvPicPr>
      </xdr:nvPicPr>
      <xdr:blipFill>
        <a:blip r:link="rId178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5" name="Picture 975" descr="Cayman Islands"/>
        <xdr:cNvPicPr preferRelativeResize="1">
          <a:picLocks noChangeAspect="1"/>
        </xdr:cNvPicPr>
      </xdr:nvPicPr>
      <xdr:blipFill>
        <a:blip r:link="rId179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pic>
      <xdr:nvPicPr>
        <xdr:cNvPr id="976" name="Picture 976" descr="Dominica"/>
        <xdr:cNvPicPr preferRelativeResize="1">
          <a:picLocks noChangeAspect="1"/>
        </xdr:cNvPicPr>
      </xdr:nvPicPr>
      <xdr:blipFill>
        <a:blip r:link="rId180"/>
        <a:stretch>
          <a:fillRect/>
        </a:stretch>
      </xdr:blipFill>
      <xdr:spPr>
        <a:xfrm>
          <a:off x="0" y="810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123825</xdr:rowOff>
    </xdr:to>
    <xdr:pic>
      <xdr:nvPicPr>
        <xdr:cNvPr id="977" name="Picture 977" descr="Andorra"/>
        <xdr:cNvPicPr preferRelativeResize="1">
          <a:picLocks noChangeAspect="1"/>
        </xdr:cNvPicPr>
      </xdr:nvPicPr>
      <xdr:blipFill>
        <a:blip r:link="rId181"/>
        <a:stretch>
          <a:fillRect/>
        </a:stretch>
      </xdr:blipFill>
      <xdr:spPr>
        <a:xfrm>
          <a:off x="0" y="810577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pic>
      <xdr:nvPicPr>
        <xdr:cNvPr id="978" name="Picture 978" descr="Samoa"/>
        <xdr:cNvPicPr preferRelativeResize="1">
          <a:picLocks noChangeAspect="1"/>
        </xdr:cNvPicPr>
      </xdr:nvPicPr>
      <xdr:blipFill>
        <a:blip r:link="rId182"/>
        <a:stretch>
          <a:fillRect/>
        </a:stretch>
      </xdr:blipFill>
      <xdr:spPr>
        <a:xfrm>
          <a:off x="0" y="826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123825</xdr:rowOff>
    </xdr:to>
    <xdr:pic>
      <xdr:nvPicPr>
        <xdr:cNvPr id="979" name="Picture 979" descr="San Marino"/>
        <xdr:cNvPicPr preferRelativeResize="1">
          <a:picLocks noChangeAspect="1"/>
        </xdr:cNvPicPr>
      </xdr:nvPicPr>
      <xdr:blipFill>
        <a:blip r:link="rId197"/>
        <a:stretch>
          <a:fillRect/>
        </a:stretch>
      </xdr:blipFill>
      <xdr:spPr>
        <a:xfrm>
          <a:off x="0" y="8267700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workbookViewId="0" topLeftCell="A1">
      <selection activeCell="F14" sqref="F14"/>
    </sheetView>
  </sheetViews>
  <sheetFormatPr defaultColWidth="9.00390625" defaultRowHeight="12.75"/>
  <cols>
    <col min="1" max="1" width="7.75390625" style="0" customWidth="1"/>
    <col min="2" max="2" width="22.00390625" style="0" customWidth="1"/>
    <col min="3" max="3" width="24.75390625" style="0" customWidth="1"/>
    <col min="4" max="4" width="22.625" style="0" customWidth="1"/>
    <col min="5" max="5" width="19.625" style="0" customWidth="1"/>
    <col min="6" max="6" width="8.625" style="0" customWidth="1"/>
    <col min="7" max="7" width="17.75390625" style="0" customWidth="1"/>
    <col min="8" max="8" width="22.25390625" style="0" customWidth="1"/>
  </cols>
  <sheetData>
    <row r="2" spans="1:8" ht="12.75">
      <c r="A2" s="133" t="s">
        <v>1276</v>
      </c>
      <c r="B2" s="133"/>
      <c r="C2" s="133"/>
      <c r="D2" s="133"/>
      <c r="E2" s="18"/>
      <c r="F2" s="18"/>
      <c r="G2" s="133"/>
      <c r="H2" s="133"/>
    </row>
    <row r="3" spans="1:9" ht="12.75">
      <c r="A3" s="134" t="s">
        <v>1277</v>
      </c>
      <c r="B3" s="134"/>
      <c r="C3" s="134"/>
      <c r="D3" s="134"/>
      <c r="E3" s="18"/>
      <c r="F3" s="18"/>
      <c r="G3" s="133"/>
      <c r="H3" s="133"/>
      <c r="I3" s="133"/>
    </row>
    <row r="4" spans="1:9" ht="12.75">
      <c r="A4" s="132" t="s">
        <v>1278</v>
      </c>
      <c r="B4" s="132"/>
      <c r="C4" s="132"/>
      <c r="D4" s="132"/>
      <c r="E4" s="18"/>
      <c r="F4" s="18"/>
      <c r="G4" s="16"/>
      <c r="H4" s="16"/>
      <c r="I4" s="16"/>
    </row>
    <row r="5" spans="1:4" ht="13.5" customHeight="1">
      <c r="A5" s="1"/>
      <c r="B5" s="1" t="s">
        <v>577</v>
      </c>
      <c r="C5" s="1" t="s">
        <v>578</v>
      </c>
      <c r="D5" s="1"/>
    </row>
    <row r="6" spans="1:4" ht="12.75">
      <c r="A6" s="1"/>
      <c r="B6" s="19" t="s">
        <v>593</v>
      </c>
      <c r="C6" s="19"/>
      <c r="D6" s="1"/>
    </row>
    <row r="7" spans="1:6" ht="12.75">
      <c r="A7" s="133" t="s">
        <v>63</v>
      </c>
      <c r="B7" s="133"/>
      <c r="C7" s="133"/>
      <c r="D7" s="133"/>
      <c r="E7" s="133"/>
      <c r="F7" s="16"/>
    </row>
    <row r="8" spans="1:6" ht="12.75">
      <c r="A8" s="16"/>
      <c r="B8" s="16" t="s">
        <v>577</v>
      </c>
      <c r="C8" s="16" t="s">
        <v>597</v>
      </c>
      <c r="D8" s="16"/>
      <c r="E8" s="16"/>
      <c r="F8" s="16"/>
    </row>
    <row r="9" spans="3:6" ht="27" customHeight="1">
      <c r="C9" t="s">
        <v>603</v>
      </c>
      <c r="D9" s="22" t="s">
        <v>610</v>
      </c>
      <c r="E9" s="22" t="s">
        <v>611</v>
      </c>
      <c r="F9" t="s">
        <v>612</v>
      </c>
    </row>
    <row r="10" spans="1:7" ht="12.75">
      <c r="A10" s="2">
        <v>1</v>
      </c>
      <c r="B10" s="21" t="s">
        <v>593</v>
      </c>
      <c r="C10" s="16">
        <v>4</v>
      </c>
      <c r="D10" s="16">
        <v>2</v>
      </c>
      <c r="E10" s="16"/>
      <c r="F10" s="77">
        <v>7</v>
      </c>
      <c r="G10" t="s">
        <v>1036</v>
      </c>
    </row>
    <row r="11" spans="1:6" ht="12.75">
      <c r="A11" s="2">
        <v>2</v>
      </c>
      <c r="B11" s="2" t="s">
        <v>601</v>
      </c>
      <c r="C11" s="16">
        <v>4</v>
      </c>
      <c r="D11" s="16">
        <v>1</v>
      </c>
      <c r="E11" s="16">
        <v>1</v>
      </c>
      <c r="F11" s="77">
        <v>6</v>
      </c>
    </row>
    <row r="12" spans="1:7" ht="12.75">
      <c r="A12" s="2">
        <v>3</v>
      </c>
      <c r="B12" s="2" t="s">
        <v>659</v>
      </c>
      <c r="C12" s="16">
        <v>5</v>
      </c>
      <c r="D12" s="16">
        <v>1</v>
      </c>
      <c r="E12" s="16">
        <v>1</v>
      </c>
      <c r="F12" s="77">
        <v>7</v>
      </c>
      <c r="G12" t="s">
        <v>1037</v>
      </c>
    </row>
    <row r="13" spans="1:6" ht="12.75">
      <c r="A13" s="2">
        <v>4</v>
      </c>
      <c r="B13" s="21" t="s">
        <v>706</v>
      </c>
      <c r="C13" s="16">
        <v>2</v>
      </c>
      <c r="D13" s="16">
        <v>2</v>
      </c>
      <c r="E13" s="16">
        <v>1</v>
      </c>
      <c r="F13" s="77">
        <f aca="true" t="shared" si="0" ref="F13:F58">C13+D13+E13</f>
        <v>5</v>
      </c>
    </row>
    <row r="14" spans="1:6" ht="12.75">
      <c r="A14" s="2">
        <v>5</v>
      </c>
      <c r="B14" s="2" t="s">
        <v>632</v>
      </c>
      <c r="C14" s="16">
        <v>2</v>
      </c>
      <c r="D14" s="16">
        <v>2</v>
      </c>
      <c r="E14" s="16"/>
      <c r="F14" s="77">
        <f t="shared" si="0"/>
        <v>4</v>
      </c>
    </row>
    <row r="15" spans="1:6" ht="12.75">
      <c r="A15" s="2">
        <v>6</v>
      </c>
      <c r="B15" s="2" t="s">
        <v>1016</v>
      </c>
      <c r="C15" s="16">
        <v>2</v>
      </c>
      <c r="D15" s="16">
        <v>1</v>
      </c>
      <c r="E15" s="16">
        <v>1</v>
      </c>
      <c r="F15" s="77">
        <f t="shared" si="0"/>
        <v>4</v>
      </c>
    </row>
    <row r="16" spans="1:6" ht="12.75">
      <c r="A16" s="2">
        <v>7</v>
      </c>
      <c r="B16" s="2" t="s">
        <v>599</v>
      </c>
      <c r="C16" s="16">
        <v>2</v>
      </c>
      <c r="D16" s="16">
        <v>1</v>
      </c>
      <c r="E16" s="16">
        <v>1</v>
      </c>
      <c r="F16" s="77">
        <f t="shared" si="0"/>
        <v>4</v>
      </c>
    </row>
    <row r="17" spans="1:6" ht="12.75">
      <c r="A17" s="2">
        <v>8</v>
      </c>
      <c r="B17" s="20" t="s">
        <v>589</v>
      </c>
      <c r="C17" s="16">
        <v>2</v>
      </c>
      <c r="D17" s="16">
        <v>1</v>
      </c>
      <c r="E17" s="16">
        <v>1</v>
      </c>
      <c r="F17" s="77">
        <f t="shared" si="0"/>
        <v>4</v>
      </c>
    </row>
    <row r="18" spans="1:6" ht="12.75">
      <c r="A18" s="2">
        <v>9</v>
      </c>
      <c r="B18" s="2" t="s">
        <v>587</v>
      </c>
      <c r="C18" s="16">
        <v>2</v>
      </c>
      <c r="D18" s="16">
        <v>1</v>
      </c>
      <c r="E18" s="16"/>
      <c r="F18" s="77">
        <f t="shared" si="0"/>
        <v>3</v>
      </c>
    </row>
    <row r="19" spans="1:6" ht="12.75">
      <c r="A19" s="2">
        <v>10</v>
      </c>
      <c r="B19" s="2" t="s">
        <v>1015</v>
      </c>
      <c r="C19" s="16">
        <v>2</v>
      </c>
      <c r="D19" s="16"/>
      <c r="E19" s="16">
        <v>1</v>
      </c>
      <c r="F19" s="77">
        <f t="shared" si="0"/>
        <v>3</v>
      </c>
    </row>
    <row r="20" spans="1:6" ht="12.75">
      <c r="A20" s="2">
        <v>11</v>
      </c>
      <c r="B20" s="2" t="s">
        <v>886</v>
      </c>
      <c r="C20" s="16">
        <v>1</v>
      </c>
      <c r="D20" s="16">
        <v>2</v>
      </c>
      <c r="E20" s="16"/>
      <c r="F20" s="77">
        <f t="shared" si="0"/>
        <v>3</v>
      </c>
    </row>
    <row r="21" spans="1:6" ht="12.75">
      <c r="A21" s="2">
        <v>12</v>
      </c>
      <c r="B21" s="2" t="s">
        <v>592</v>
      </c>
      <c r="C21" s="16">
        <v>1</v>
      </c>
      <c r="D21" s="16">
        <v>2</v>
      </c>
      <c r="E21" s="16"/>
      <c r="F21" s="77">
        <f t="shared" si="0"/>
        <v>3</v>
      </c>
    </row>
    <row r="22" spans="1:6" ht="12.75">
      <c r="A22" s="2">
        <v>13</v>
      </c>
      <c r="B22" s="2" t="s">
        <v>627</v>
      </c>
      <c r="C22" s="16">
        <v>1</v>
      </c>
      <c r="D22" s="16">
        <v>1</v>
      </c>
      <c r="E22" s="16">
        <v>1</v>
      </c>
      <c r="F22" s="77">
        <f t="shared" si="0"/>
        <v>3</v>
      </c>
    </row>
    <row r="23" spans="1:6" ht="12.75">
      <c r="A23" s="2">
        <v>14</v>
      </c>
      <c r="B23" s="2" t="s">
        <v>1018</v>
      </c>
      <c r="C23" s="16">
        <v>1</v>
      </c>
      <c r="D23" s="16">
        <v>1</v>
      </c>
      <c r="E23" s="16">
        <v>1</v>
      </c>
      <c r="F23" s="77">
        <f t="shared" si="0"/>
        <v>3</v>
      </c>
    </row>
    <row r="24" spans="1:6" ht="12.75">
      <c r="A24" s="2">
        <v>15</v>
      </c>
      <c r="B24" s="2" t="s">
        <v>843</v>
      </c>
      <c r="C24" s="16">
        <v>1</v>
      </c>
      <c r="D24" s="16">
        <v>1</v>
      </c>
      <c r="E24" s="16">
        <v>1</v>
      </c>
      <c r="F24" s="77">
        <f t="shared" si="0"/>
        <v>3</v>
      </c>
    </row>
    <row r="25" spans="1:6" ht="12.75">
      <c r="A25" s="2">
        <v>16</v>
      </c>
      <c r="B25" s="2" t="s">
        <v>595</v>
      </c>
      <c r="C25" s="16">
        <v>1</v>
      </c>
      <c r="D25" s="16">
        <v>1</v>
      </c>
      <c r="E25" s="16">
        <v>1</v>
      </c>
      <c r="F25" s="77">
        <f t="shared" si="0"/>
        <v>3</v>
      </c>
    </row>
    <row r="26" spans="1:6" ht="12.75">
      <c r="A26" s="2">
        <v>17</v>
      </c>
      <c r="B26" s="2" t="s">
        <v>596</v>
      </c>
      <c r="C26" s="16">
        <v>1</v>
      </c>
      <c r="D26" s="16">
        <v>1</v>
      </c>
      <c r="E26" s="16">
        <v>1</v>
      </c>
      <c r="F26" s="77">
        <f t="shared" si="0"/>
        <v>3</v>
      </c>
    </row>
    <row r="27" spans="1:6" ht="12.75">
      <c r="A27" s="2">
        <v>18</v>
      </c>
      <c r="B27" s="2" t="s">
        <v>588</v>
      </c>
      <c r="C27" s="16">
        <v>1</v>
      </c>
      <c r="D27" s="16">
        <v>1</v>
      </c>
      <c r="E27" s="16">
        <v>1</v>
      </c>
      <c r="F27" s="77">
        <v>3</v>
      </c>
    </row>
    <row r="28" spans="1:6" ht="12.75">
      <c r="A28" s="2">
        <v>19</v>
      </c>
      <c r="B28" s="2" t="s">
        <v>600</v>
      </c>
      <c r="C28" s="16">
        <v>1</v>
      </c>
      <c r="D28" s="16">
        <v>1</v>
      </c>
      <c r="E28" s="16">
        <v>1</v>
      </c>
      <c r="F28" s="77">
        <f t="shared" si="0"/>
        <v>3</v>
      </c>
    </row>
    <row r="29" spans="1:6" ht="12.75">
      <c r="A29" s="2">
        <v>20</v>
      </c>
      <c r="B29" s="2" t="s">
        <v>598</v>
      </c>
      <c r="C29" s="16">
        <v>1</v>
      </c>
      <c r="D29" s="16">
        <v>1</v>
      </c>
      <c r="E29" s="16">
        <v>1</v>
      </c>
      <c r="F29" s="77">
        <f t="shared" si="0"/>
        <v>3</v>
      </c>
    </row>
    <row r="30" spans="1:6" ht="12.75">
      <c r="A30" s="2">
        <v>21</v>
      </c>
      <c r="B30" s="21" t="s">
        <v>1017</v>
      </c>
      <c r="C30" s="16">
        <v>1</v>
      </c>
      <c r="D30" s="16">
        <v>1</v>
      </c>
      <c r="E30" s="16">
        <v>1</v>
      </c>
      <c r="F30" s="77">
        <f t="shared" si="0"/>
        <v>3</v>
      </c>
    </row>
    <row r="31" spans="1:6" ht="12.75">
      <c r="A31" s="2">
        <v>22</v>
      </c>
      <c r="B31" s="2" t="s">
        <v>1020</v>
      </c>
      <c r="C31" s="16">
        <v>1</v>
      </c>
      <c r="D31" s="16"/>
      <c r="E31" s="16">
        <v>2</v>
      </c>
      <c r="F31" s="77">
        <f t="shared" si="0"/>
        <v>3</v>
      </c>
    </row>
    <row r="32" spans="1:6" ht="12.75">
      <c r="A32" s="2">
        <v>23</v>
      </c>
      <c r="B32" s="2" t="s">
        <v>725</v>
      </c>
      <c r="C32" s="16">
        <v>1</v>
      </c>
      <c r="D32" s="16"/>
      <c r="E32" s="16">
        <v>2</v>
      </c>
      <c r="F32" s="77">
        <f t="shared" si="0"/>
        <v>3</v>
      </c>
    </row>
    <row r="33" spans="1:6" ht="12.75">
      <c r="A33" s="2">
        <v>24</v>
      </c>
      <c r="B33" s="2" t="s">
        <v>781</v>
      </c>
      <c r="C33" s="16">
        <v>1</v>
      </c>
      <c r="D33" s="16"/>
      <c r="E33" s="16">
        <v>2</v>
      </c>
      <c r="F33" s="77">
        <f t="shared" si="0"/>
        <v>3</v>
      </c>
    </row>
    <row r="34" spans="1:6" ht="12.75">
      <c r="A34" s="2">
        <v>25</v>
      </c>
      <c r="B34" s="2" t="s">
        <v>1022</v>
      </c>
      <c r="C34" s="16">
        <v>1</v>
      </c>
      <c r="D34" s="16"/>
      <c r="E34" s="16">
        <v>2</v>
      </c>
      <c r="F34" s="77">
        <f t="shared" si="0"/>
        <v>3</v>
      </c>
    </row>
    <row r="35" spans="1:6" ht="12.75">
      <c r="A35" s="2">
        <v>26</v>
      </c>
      <c r="B35" s="2" t="s">
        <v>690</v>
      </c>
      <c r="C35" s="16"/>
      <c r="D35" s="16">
        <v>2</v>
      </c>
      <c r="E35" s="16">
        <v>1</v>
      </c>
      <c r="F35" s="77">
        <f t="shared" si="0"/>
        <v>3</v>
      </c>
    </row>
    <row r="36" spans="1:6" ht="12.75">
      <c r="A36" s="2">
        <v>27</v>
      </c>
      <c r="B36" s="2" t="s">
        <v>654</v>
      </c>
      <c r="C36" s="16"/>
      <c r="D36" s="16">
        <v>2</v>
      </c>
      <c r="E36" s="16">
        <v>1</v>
      </c>
      <c r="F36" s="77">
        <f t="shared" si="0"/>
        <v>3</v>
      </c>
    </row>
    <row r="37" spans="1:6" ht="12.75">
      <c r="A37" s="2">
        <v>28</v>
      </c>
      <c r="B37" s="2" t="s">
        <v>790</v>
      </c>
      <c r="C37" s="16"/>
      <c r="D37" s="16">
        <v>2</v>
      </c>
      <c r="E37" s="16">
        <v>1</v>
      </c>
      <c r="F37" s="77">
        <f t="shared" si="0"/>
        <v>3</v>
      </c>
    </row>
    <row r="38" spans="1:6" ht="12.75">
      <c r="A38" s="2">
        <v>29</v>
      </c>
      <c r="B38" s="2" t="s">
        <v>1019</v>
      </c>
      <c r="C38" s="16"/>
      <c r="D38" s="16">
        <v>2</v>
      </c>
      <c r="E38" s="16">
        <v>1</v>
      </c>
      <c r="F38" s="77">
        <f t="shared" si="0"/>
        <v>3</v>
      </c>
    </row>
    <row r="39" spans="1:6" ht="12.75">
      <c r="A39" s="2">
        <v>30</v>
      </c>
      <c r="B39" s="2" t="s">
        <v>669</v>
      </c>
      <c r="C39" s="16"/>
      <c r="D39" s="16">
        <v>2</v>
      </c>
      <c r="E39" s="16">
        <v>1</v>
      </c>
      <c r="F39" s="77">
        <f t="shared" si="0"/>
        <v>3</v>
      </c>
    </row>
    <row r="40" spans="1:6" ht="12.75">
      <c r="A40" s="2">
        <v>31</v>
      </c>
      <c r="B40" s="2" t="s">
        <v>1021</v>
      </c>
      <c r="C40" s="16"/>
      <c r="D40" s="16">
        <v>2</v>
      </c>
      <c r="E40" s="16">
        <v>1</v>
      </c>
      <c r="F40" s="77">
        <f t="shared" si="0"/>
        <v>3</v>
      </c>
    </row>
    <row r="41" spans="1:6" ht="12.75">
      <c r="A41" s="2">
        <v>32</v>
      </c>
      <c r="B41" s="2" t="s">
        <v>785</v>
      </c>
      <c r="C41" s="16"/>
      <c r="D41" s="16">
        <v>1</v>
      </c>
      <c r="E41" s="16">
        <v>2</v>
      </c>
      <c r="F41" s="77">
        <f t="shared" si="0"/>
        <v>3</v>
      </c>
    </row>
    <row r="42" spans="1:6" ht="12.75">
      <c r="A42" s="2">
        <v>33</v>
      </c>
      <c r="B42" s="2" t="s">
        <v>602</v>
      </c>
      <c r="C42" s="16"/>
      <c r="D42" s="16">
        <v>1</v>
      </c>
      <c r="E42" s="16">
        <v>2</v>
      </c>
      <c r="F42" s="77">
        <f t="shared" si="0"/>
        <v>3</v>
      </c>
    </row>
    <row r="43" spans="1:6" ht="12.75">
      <c r="A43" s="2">
        <v>34</v>
      </c>
      <c r="B43" s="2" t="s">
        <v>1023</v>
      </c>
      <c r="C43" s="16"/>
      <c r="D43" s="16">
        <v>1</v>
      </c>
      <c r="E43" s="16">
        <v>2</v>
      </c>
      <c r="F43" s="77">
        <f t="shared" si="0"/>
        <v>3</v>
      </c>
    </row>
    <row r="44" spans="1:6" ht="12.75">
      <c r="A44" s="2">
        <v>35</v>
      </c>
      <c r="B44" s="2" t="s">
        <v>720</v>
      </c>
      <c r="C44" s="16"/>
      <c r="D44" s="16">
        <v>1</v>
      </c>
      <c r="E44" s="16">
        <v>2</v>
      </c>
      <c r="F44" s="77">
        <f t="shared" si="0"/>
        <v>3</v>
      </c>
    </row>
    <row r="45" spans="1:6" ht="12.75">
      <c r="A45" s="2">
        <v>36</v>
      </c>
      <c r="B45" s="2" t="s">
        <v>802</v>
      </c>
      <c r="C45" s="16"/>
      <c r="D45" s="16">
        <v>1</v>
      </c>
      <c r="E45" s="16">
        <v>2</v>
      </c>
      <c r="F45" s="77">
        <f t="shared" si="0"/>
        <v>3</v>
      </c>
    </row>
    <row r="46" spans="1:6" ht="12.75">
      <c r="A46" s="2">
        <v>37</v>
      </c>
      <c r="B46" s="2" t="s">
        <v>1025</v>
      </c>
      <c r="C46" s="16"/>
      <c r="D46" s="16">
        <v>1</v>
      </c>
      <c r="E46" s="16">
        <v>2</v>
      </c>
      <c r="F46" s="77">
        <f t="shared" si="0"/>
        <v>3</v>
      </c>
    </row>
    <row r="47" spans="1:6" ht="12.75">
      <c r="A47" s="2">
        <v>38</v>
      </c>
      <c r="B47" s="2" t="s">
        <v>685</v>
      </c>
      <c r="C47" s="16"/>
      <c r="D47" s="16"/>
      <c r="E47" s="16">
        <v>3</v>
      </c>
      <c r="F47" s="77">
        <f t="shared" si="0"/>
        <v>3</v>
      </c>
    </row>
    <row r="48" spans="1:6" ht="12.75">
      <c r="A48" s="2">
        <v>39</v>
      </c>
      <c r="B48" s="2" t="s">
        <v>734</v>
      </c>
      <c r="C48" s="16"/>
      <c r="D48" s="16"/>
      <c r="E48" s="16">
        <v>3</v>
      </c>
      <c r="F48" s="77">
        <f t="shared" si="0"/>
        <v>3</v>
      </c>
    </row>
    <row r="49" spans="1:6" ht="12.75">
      <c r="A49" s="2">
        <v>40</v>
      </c>
      <c r="B49" s="2" t="s">
        <v>1024</v>
      </c>
      <c r="C49" s="16"/>
      <c r="D49" s="16"/>
      <c r="E49" s="16">
        <v>2</v>
      </c>
      <c r="F49" s="77">
        <f t="shared" si="0"/>
        <v>2</v>
      </c>
    </row>
    <row r="50" spans="1:6" ht="12.75">
      <c r="A50" s="2">
        <v>41</v>
      </c>
      <c r="B50" s="2" t="s">
        <v>1028</v>
      </c>
      <c r="C50" s="16"/>
      <c r="D50" s="16"/>
      <c r="E50" s="16">
        <v>2</v>
      </c>
      <c r="F50" s="77">
        <f t="shared" si="0"/>
        <v>2</v>
      </c>
    </row>
    <row r="51" spans="1:6" ht="12.75">
      <c r="A51" s="2">
        <v>42</v>
      </c>
      <c r="B51" s="2" t="s">
        <v>1027</v>
      </c>
      <c r="C51" s="16"/>
      <c r="D51" s="16"/>
      <c r="E51" s="16">
        <v>2</v>
      </c>
      <c r="F51" s="77">
        <f t="shared" si="0"/>
        <v>2</v>
      </c>
    </row>
    <row r="52" spans="1:6" ht="12.75">
      <c r="A52" s="2">
        <v>43</v>
      </c>
      <c r="B52" s="2" t="s">
        <v>1029</v>
      </c>
      <c r="C52" s="16"/>
      <c r="D52" s="16"/>
      <c r="E52" s="16">
        <v>2</v>
      </c>
      <c r="F52" s="77">
        <f t="shared" si="0"/>
        <v>2</v>
      </c>
    </row>
    <row r="53" spans="1:6" ht="12.75">
      <c r="A53" s="2">
        <v>44</v>
      </c>
      <c r="B53" s="2" t="s">
        <v>1026</v>
      </c>
      <c r="C53" s="16"/>
      <c r="D53" s="16"/>
      <c r="E53" s="16">
        <v>2</v>
      </c>
      <c r="F53" s="77">
        <f t="shared" si="0"/>
        <v>2</v>
      </c>
    </row>
    <row r="54" spans="1:6" ht="12.75">
      <c r="A54" s="2">
        <v>45</v>
      </c>
      <c r="B54" s="2" t="s">
        <v>1030</v>
      </c>
      <c r="C54" s="16"/>
      <c r="D54" s="16"/>
      <c r="E54" s="16">
        <v>2</v>
      </c>
      <c r="F54" s="77">
        <f t="shared" si="0"/>
        <v>2</v>
      </c>
    </row>
    <row r="55" spans="1:6" ht="12.75">
      <c r="A55" s="2">
        <v>46</v>
      </c>
      <c r="B55" s="2" t="s">
        <v>1031</v>
      </c>
      <c r="C55" s="16"/>
      <c r="D55" s="16"/>
      <c r="E55" s="16">
        <v>1</v>
      </c>
      <c r="F55" s="77">
        <f t="shared" si="0"/>
        <v>1</v>
      </c>
    </row>
    <row r="56" spans="1:6" ht="12.75">
      <c r="A56" s="2">
        <v>47</v>
      </c>
      <c r="B56" s="2" t="s">
        <v>1032</v>
      </c>
      <c r="C56" s="16"/>
      <c r="D56" s="16"/>
      <c r="E56" s="16">
        <v>1</v>
      </c>
      <c r="F56" s="77">
        <f t="shared" si="0"/>
        <v>1</v>
      </c>
    </row>
    <row r="57" spans="1:6" ht="12.75">
      <c r="A57" s="2">
        <v>48</v>
      </c>
      <c r="B57" s="2" t="s">
        <v>1033</v>
      </c>
      <c r="C57" s="16"/>
      <c r="D57" s="16"/>
      <c r="E57" s="16">
        <v>1</v>
      </c>
      <c r="F57" s="77">
        <f t="shared" si="0"/>
        <v>1</v>
      </c>
    </row>
    <row r="58" spans="1:6" ht="12.75">
      <c r="A58" s="2">
        <v>49</v>
      </c>
      <c r="B58" s="2" t="s">
        <v>1034</v>
      </c>
      <c r="C58" s="16"/>
      <c r="D58" s="16"/>
      <c r="E58" s="16">
        <v>1</v>
      </c>
      <c r="F58" s="77">
        <f t="shared" si="0"/>
        <v>1</v>
      </c>
    </row>
    <row r="59" spans="1:3" ht="12.75">
      <c r="A59" s="135" t="s">
        <v>1084</v>
      </c>
      <c r="B59" s="135"/>
      <c r="C59" s="16">
        <v>2</v>
      </c>
    </row>
    <row r="60" spans="1:3" ht="12.75">
      <c r="A60" s="4"/>
      <c r="B60" s="4" t="s">
        <v>614</v>
      </c>
      <c r="C60" s="16">
        <v>12</v>
      </c>
    </row>
    <row r="61" spans="1:3" ht="12.75">
      <c r="A61" s="4"/>
      <c r="B61" s="4" t="s">
        <v>612</v>
      </c>
      <c r="C61" s="16">
        <v>54</v>
      </c>
    </row>
    <row r="62" spans="1:3" ht="12.75">
      <c r="A62" s="136" t="s">
        <v>613</v>
      </c>
      <c r="B62" s="137"/>
      <c r="C62" s="16"/>
    </row>
    <row r="63" spans="1:3" ht="12.75">
      <c r="A63" s="135" t="s">
        <v>1014</v>
      </c>
      <c r="B63" s="135"/>
      <c r="C63" s="16">
        <v>1</v>
      </c>
    </row>
    <row r="64" spans="4:6" ht="24.75" customHeight="1">
      <c r="D64" s="22" t="s">
        <v>608</v>
      </c>
      <c r="E64" s="22" t="s">
        <v>607</v>
      </c>
      <c r="F64" s="22"/>
    </row>
    <row r="65" spans="4:5" ht="30.75" customHeight="1">
      <c r="D65" s="22" t="s">
        <v>1081</v>
      </c>
      <c r="E65" t="s">
        <v>604</v>
      </c>
    </row>
    <row r="66" spans="4:5" ht="12.75">
      <c r="D66" t="s">
        <v>609</v>
      </c>
      <c r="E66" t="s">
        <v>605</v>
      </c>
    </row>
    <row r="67" spans="4:5" ht="12.75">
      <c r="D67" t="s">
        <v>606</v>
      </c>
      <c r="E67" t="s">
        <v>606</v>
      </c>
    </row>
  </sheetData>
  <mergeCells count="9">
    <mergeCell ref="A7:E7"/>
    <mergeCell ref="A59:B59"/>
    <mergeCell ref="A62:B62"/>
    <mergeCell ref="A63:B63"/>
    <mergeCell ref="A4:D4"/>
    <mergeCell ref="A2:D2"/>
    <mergeCell ref="G2:H2"/>
    <mergeCell ref="A3:D3"/>
    <mergeCell ref="G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2"/>
  <sheetViews>
    <sheetView workbookViewId="0" topLeftCell="A1">
      <selection activeCell="B94" sqref="B94"/>
    </sheetView>
  </sheetViews>
  <sheetFormatPr defaultColWidth="9.00390625" defaultRowHeight="12.75"/>
  <cols>
    <col min="1" max="1" width="3.75390625" style="0" customWidth="1"/>
    <col min="2" max="2" width="31.75390625" style="0" customWidth="1"/>
    <col min="3" max="3" width="15.75390625" style="0" customWidth="1"/>
    <col min="4" max="4" width="15.25390625" style="0" customWidth="1"/>
    <col min="5" max="5" width="20.00390625" style="0" customWidth="1"/>
    <col min="6" max="6" width="15.625" style="0" customWidth="1"/>
    <col min="7" max="7" width="13.375" style="0" customWidth="1"/>
  </cols>
  <sheetData>
    <row r="1" spans="2:5" ht="12.75">
      <c r="B1" s="133" t="s">
        <v>979</v>
      </c>
      <c r="C1" s="133"/>
      <c r="D1" s="133"/>
      <c r="E1" s="133"/>
    </row>
    <row r="2" spans="2:6" ht="14.25" customHeight="1">
      <c r="B2" s="153" t="s">
        <v>980</v>
      </c>
      <c r="C2" s="153"/>
      <c r="D2" s="153"/>
      <c r="E2" s="153"/>
      <c r="F2" s="153"/>
    </row>
    <row r="3" spans="2:6" ht="15.75" customHeight="1">
      <c r="B3" s="126" t="s">
        <v>981</v>
      </c>
      <c r="C3" s="126"/>
      <c r="D3" s="126"/>
      <c r="E3" s="126"/>
      <c r="F3" s="6"/>
    </row>
    <row r="6" spans="1:5" ht="12.75">
      <c r="A6" s="160" t="s">
        <v>1270</v>
      </c>
      <c r="B6" s="161"/>
      <c r="C6" s="162"/>
      <c r="D6" s="144" t="s">
        <v>1008</v>
      </c>
      <c r="E6" s="144" t="s">
        <v>590</v>
      </c>
    </row>
    <row r="7" spans="1:5" ht="12.75">
      <c r="A7" s="163"/>
      <c r="B7" s="164"/>
      <c r="C7" s="165"/>
      <c r="D7" s="145"/>
      <c r="E7" s="145"/>
    </row>
    <row r="8" spans="1:5" ht="38.25">
      <c r="A8" s="35" t="s">
        <v>940</v>
      </c>
      <c r="B8" s="63" t="s">
        <v>1271</v>
      </c>
      <c r="C8" s="35" t="s">
        <v>852</v>
      </c>
      <c r="D8" s="50" t="s">
        <v>1007</v>
      </c>
      <c r="E8" s="50" t="s">
        <v>591</v>
      </c>
    </row>
    <row r="9" spans="1:5" ht="12.75">
      <c r="A9" s="35">
        <v>1</v>
      </c>
      <c r="B9" s="60" t="s">
        <v>1148</v>
      </c>
      <c r="C9" s="54">
        <v>1.5493402777777778</v>
      </c>
      <c r="D9" s="19">
        <v>1</v>
      </c>
      <c r="E9" s="19">
        <v>1</v>
      </c>
    </row>
    <row r="10" spans="1:5" ht="12.75">
      <c r="A10" s="1">
        <v>2</v>
      </c>
      <c r="B10" s="1" t="s">
        <v>1194</v>
      </c>
      <c r="C10" s="28">
        <v>1.5806712962962963</v>
      </c>
      <c r="D10" s="19">
        <v>2</v>
      </c>
      <c r="E10" s="19">
        <v>1</v>
      </c>
    </row>
    <row r="11" spans="1:5" ht="12.75">
      <c r="A11" s="1">
        <v>3</v>
      </c>
      <c r="B11" s="1" t="s">
        <v>1242</v>
      </c>
      <c r="C11" s="28">
        <v>1.598912037037037</v>
      </c>
      <c r="D11" s="19">
        <v>2</v>
      </c>
      <c r="E11" s="19">
        <v>1</v>
      </c>
    </row>
    <row r="12" spans="1:5" ht="12.75">
      <c r="A12" s="1">
        <v>4</v>
      </c>
      <c r="B12" s="1" t="s">
        <v>1214</v>
      </c>
      <c r="C12" s="28">
        <v>1.5994328703703704</v>
      </c>
      <c r="D12" s="19">
        <v>1</v>
      </c>
      <c r="E12" s="19">
        <v>2</v>
      </c>
    </row>
    <row r="13" spans="1:5" ht="12.75">
      <c r="A13" s="1">
        <v>5</v>
      </c>
      <c r="B13" s="1" t="s">
        <v>1179</v>
      </c>
      <c r="C13" s="28">
        <v>1.6015162037037038</v>
      </c>
      <c r="D13" s="19">
        <v>0</v>
      </c>
      <c r="E13" s="19">
        <v>0</v>
      </c>
    </row>
    <row r="14" spans="1:5" ht="12.75">
      <c r="A14" s="1">
        <v>6</v>
      </c>
      <c r="B14" s="1" t="s">
        <v>1171</v>
      </c>
      <c r="C14" s="28">
        <v>1.6319675925925925</v>
      </c>
      <c r="D14" s="19">
        <v>0</v>
      </c>
      <c r="E14" s="19">
        <v>0</v>
      </c>
    </row>
    <row r="15" spans="1:5" ht="12.75">
      <c r="A15" s="1">
        <v>7</v>
      </c>
      <c r="B15" s="1" t="s">
        <v>1218</v>
      </c>
      <c r="C15" s="28">
        <v>1.6556828703703703</v>
      </c>
      <c r="D15" s="19">
        <v>1</v>
      </c>
      <c r="E15" s="19">
        <v>2</v>
      </c>
    </row>
    <row r="16" spans="1:5" ht="12.75">
      <c r="A16" s="1">
        <v>8</v>
      </c>
      <c r="B16" s="1" t="s">
        <v>1244</v>
      </c>
      <c r="C16" s="28">
        <v>1.7181712962962965</v>
      </c>
      <c r="D16" s="19">
        <v>1</v>
      </c>
      <c r="E16" s="19">
        <v>1</v>
      </c>
    </row>
    <row r="19" spans="1:5" ht="12.75" customHeight="1">
      <c r="A19" s="160" t="s">
        <v>1283</v>
      </c>
      <c r="B19" s="161"/>
      <c r="C19" s="162"/>
      <c r="D19" s="144" t="s">
        <v>1008</v>
      </c>
      <c r="E19" s="144" t="s">
        <v>590</v>
      </c>
    </row>
    <row r="20" spans="1:5" ht="12.75">
      <c r="A20" s="163"/>
      <c r="B20" s="164"/>
      <c r="C20" s="165"/>
      <c r="D20" s="145"/>
      <c r="E20" s="145"/>
    </row>
    <row r="21" spans="1:5" ht="38.25">
      <c r="A21" s="35" t="s">
        <v>940</v>
      </c>
      <c r="B21" s="63" t="s">
        <v>1271</v>
      </c>
      <c r="C21" s="35" t="s">
        <v>852</v>
      </c>
      <c r="D21" s="50" t="s">
        <v>1007</v>
      </c>
      <c r="E21" s="50" t="s">
        <v>591</v>
      </c>
    </row>
    <row r="22" spans="1:5" ht="12.75">
      <c r="A22" s="35">
        <v>1</v>
      </c>
      <c r="B22" s="60" t="s">
        <v>1157</v>
      </c>
      <c r="C22" s="54">
        <v>1.5445717592592594</v>
      </c>
      <c r="D22" s="19">
        <v>1</v>
      </c>
      <c r="E22" s="19">
        <v>0</v>
      </c>
    </row>
    <row r="23" spans="1:5" ht="12.75">
      <c r="A23" s="1">
        <v>2</v>
      </c>
      <c r="B23" s="1" t="s">
        <v>1151</v>
      </c>
      <c r="C23" s="28">
        <v>1.5473958333333335</v>
      </c>
      <c r="D23" s="19">
        <v>2</v>
      </c>
      <c r="E23" s="19">
        <v>1</v>
      </c>
    </row>
    <row r="24" spans="1:5" ht="12.75">
      <c r="A24" s="1">
        <v>3</v>
      </c>
      <c r="B24" s="1" t="s">
        <v>1190</v>
      </c>
      <c r="C24" s="28">
        <v>1.5494444444444444</v>
      </c>
      <c r="D24" s="19">
        <v>1</v>
      </c>
      <c r="E24" s="19">
        <v>0</v>
      </c>
    </row>
    <row r="25" spans="1:5" ht="12.75">
      <c r="A25" s="1">
        <v>4</v>
      </c>
      <c r="B25" s="1" t="s">
        <v>1161</v>
      </c>
      <c r="C25" s="28">
        <v>1.5592245370370372</v>
      </c>
      <c r="D25" s="19">
        <v>1</v>
      </c>
      <c r="E25" s="19">
        <v>2</v>
      </c>
    </row>
    <row r="26" spans="1:5" ht="12.75">
      <c r="A26" s="1">
        <v>5</v>
      </c>
      <c r="B26" s="1" t="s">
        <v>1164</v>
      </c>
      <c r="C26" s="28">
        <v>1.572349537037037</v>
      </c>
      <c r="D26" s="19">
        <v>1</v>
      </c>
      <c r="E26" s="19">
        <v>3</v>
      </c>
    </row>
    <row r="27" spans="1:5" ht="12.75">
      <c r="A27" s="1">
        <v>6</v>
      </c>
      <c r="B27" s="1" t="s">
        <v>1177</v>
      </c>
      <c r="C27" s="28">
        <v>1.5987152777777778</v>
      </c>
      <c r="D27" s="19">
        <v>0</v>
      </c>
      <c r="E27" s="19">
        <v>1</v>
      </c>
    </row>
    <row r="28" spans="1:5" ht="12.75">
      <c r="A28" s="1">
        <v>7</v>
      </c>
      <c r="B28" s="1" t="s">
        <v>1208</v>
      </c>
      <c r="C28" s="28">
        <v>1.6223611111111111</v>
      </c>
      <c r="D28" s="19">
        <v>1</v>
      </c>
      <c r="E28" s="19">
        <v>0</v>
      </c>
    </row>
    <row r="29" spans="1:5" ht="12.75">
      <c r="A29" s="1">
        <v>8</v>
      </c>
      <c r="B29" s="1" t="s">
        <v>1215</v>
      </c>
      <c r="C29" s="28">
        <v>1.6292824074074073</v>
      </c>
      <c r="D29" s="19">
        <v>2</v>
      </c>
      <c r="E29" s="19">
        <v>2</v>
      </c>
    </row>
    <row r="32" spans="1:5" ht="12.75">
      <c r="A32" s="160" t="s">
        <v>1272</v>
      </c>
      <c r="B32" s="161"/>
      <c r="C32" s="162"/>
      <c r="D32" s="144" t="s">
        <v>1008</v>
      </c>
      <c r="E32" s="144" t="s">
        <v>590</v>
      </c>
    </row>
    <row r="33" spans="1:5" ht="12.75">
      <c r="A33" s="163"/>
      <c r="B33" s="164"/>
      <c r="C33" s="165"/>
      <c r="D33" s="145"/>
      <c r="E33" s="145"/>
    </row>
    <row r="34" spans="1:5" ht="38.25">
      <c r="A34" s="35" t="s">
        <v>940</v>
      </c>
      <c r="B34" s="63" t="s">
        <v>1271</v>
      </c>
      <c r="C34" s="35" t="s">
        <v>852</v>
      </c>
      <c r="D34" s="50" t="s">
        <v>1007</v>
      </c>
      <c r="E34" s="50" t="s">
        <v>591</v>
      </c>
    </row>
    <row r="35" spans="1:5" ht="12.75">
      <c r="A35" s="35">
        <v>1</v>
      </c>
      <c r="B35" s="60" t="s">
        <v>1153</v>
      </c>
      <c r="C35" s="54">
        <v>1.549525462962963</v>
      </c>
      <c r="D35" s="19">
        <v>2</v>
      </c>
      <c r="E35" s="19">
        <v>2</v>
      </c>
    </row>
    <row r="36" spans="1:5" ht="12.75">
      <c r="A36" s="1">
        <v>2</v>
      </c>
      <c r="B36" s="1" t="s">
        <v>1165</v>
      </c>
      <c r="C36" s="28">
        <v>1.550173611111111</v>
      </c>
      <c r="D36" s="19">
        <v>2</v>
      </c>
      <c r="E36" s="19">
        <v>1</v>
      </c>
    </row>
    <row r="37" spans="1:5" ht="12.75">
      <c r="A37" s="1">
        <v>3</v>
      </c>
      <c r="B37" s="1" t="s">
        <v>1223</v>
      </c>
      <c r="C37" s="28">
        <v>1.5716898148148148</v>
      </c>
      <c r="D37" s="19">
        <v>1</v>
      </c>
      <c r="E37" s="19">
        <v>2</v>
      </c>
    </row>
    <row r="38" spans="1:5" ht="12.75">
      <c r="A38" s="1">
        <v>4</v>
      </c>
      <c r="B38" s="1" t="s">
        <v>1176</v>
      </c>
      <c r="C38" s="28">
        <v>1.5834722222222222</v>
      </c>
      <c r="D38" s="19">
        <v>0</v>
      </c>
      <c r="E38" s="19">
        <v>1</v>
      </c>
    </row>
    <row r="39" spans="1:5" ht="12.75">
      <c r="A39" s="1">
        <v>5</v>
      </c>
      <c r="B39" s="19" t="s">
        <v>1192</v>
      </c>
      <c r="C39" s="28">
        <v>1.591076388888889</v>
      </c>
      <c r="D39" s="19">
        <v>1</v>
      </c>
      <c r="E39" s="19">
        <v>2</v>
      </c>
    </row>
    <row r="40" spans="1:5" ht="12.75">
      <c r="A40" s="1">
        <v>6</v>
      </c>
      <c r="B40" s="1" t="s">
        <v>1185</v>
      </c>
      <c r="C40" s="28">
        <v>1.6141087962962963</v>
      </c>
      <c r="D40" s="19">
        <v>1</v>
      </c>
      <c r="E40" s="19">
        <v>2</v>
      </c>
    </row>
    <row r="41" spans="1:5" ht="12.75">
      <c r="A41" s="1">
        <v>7</v>
      </c>
      <c r="B41" s="1" t="s">
        <v>1211</v>
      </c>
      <c r="C41" s="28">
        <v>1.6179976851851852</v>
      </c>
      <c r="D41" s="19">
        <v>1</v>
      </c>
      <c r="E41" s="19">
        <v>2</v>
      </c>
    </row>
    <row r="42" spans="1:5" ht="12.75">
      <c r="A42" s="1">
        <v>8</v>
      </c>
      <c r="B42" s="1" t="s">
        <v>1219</v>
      </c>
      <c r="C42" s="28">
        <v>1.6299884259259259</v>
      </c>
      <c r="D42" s="19">
        <v>4</v>
      </c>
      <c r="E42" s="19">
        <v>0</v>
      </c>
    </row>
    <row r="45" spans="1:5" ht="12.75">
      <c r="A45" s="160" t="s">
        <v>1273</v>
      </c>
      <c r="B45" s="161"/>
      <c r="C45" s="162"/>
      <c r="D45" s="144" t="s">
        <v>1008</v>
      </c>
      <c r="E45" s="144" t="s">
        <v>590</v>
      </c>
    </row>
    <row r="46" spans="1:5" ht="12.75">
      <c r="A46" s="163"/>
      <c r="B46" s="164"/>
      <c r="C46" s="165"/>
      <c r="D46" s="145"/>
      <c r="E46" s="145"/>
    </row>
    <row r="47" spans="1:5" ht="38.25">
      <c r="A47" s="35" t="s">
        <v>940</v>
      </c>
      <c r="B47" s="63" t="s">
        <v>1271</v>
      </c>
      <c r="C47" s="35" t="s">
        <v>852</v>
      </c>
      <c r="D47" s="50" t="s">
        <v>1007</v>
      </c>
      <c r="E47" s="50" t="s">
        <v>591</v>
      </c>
    </row>
    <row r="48" spans="1:5" ht="12.75">
      <c r="A48" s="35">
        <v>1</v>
      </c>
      <c r="B48" s="60" t="s">
        <v>1155</v>
      </c>
      <c r="C48" s="54">
        <v>1.5174884259259258</v>
      </c>
      <c r="D48" s="19">
        <v>6</v>
      </c>
      <c r="E48" s="19">
        <v>0</v>
      </c>
    </row>
    <row r="49" spans="1:5" ht="12.75">
      <c r="A49" s="1">
        <v>2</v>
      </c>
      <c r="B49" s="1" t="s">
        <v>1189</v>
      </c>
      <c r="C49" s="28">
        <v>1.5416898148148148</v>
      </c>
      <c r="D49" s="19">
        <v>5</v>
      </c>
      <c r="E49" s="19">
        <v>1</v>
      </c>
    </row>
    <row r="50" spans="1:5" ht="12.75">
      <c r="A50" s="1">
        <v>3</v>
      </c>
      <c r="B50" s="1" t="s">
        <v>1169</v>
      </c>
      <c r="C50" s="28">
        <v>1.6140162037037038</v>
      </c>
      <c r="D50" s="19">
        <v>2</v>
      </c>
      <c r="E50" s="19">
        <v>1</v>
      </c>
    </row>
    <row r="51" spans="1:5" ht="12.75">
      <c r="A51" s="1">
        <v>4</v>
      </c>
      <c r="B51" s="1" t="s">
        <v>1232</v>
      </c>
      <c r="C51" s="28">
        <v>1.6730555555555557</v>
      </c>
      <c r="D51" s="19">
        <v>1</v>
      </c>
      <c r="E51" s="19">
        <v>2</v>
      </c>
    </row>
    <row r="52" spans="1:5" ht="12.75">
      <c r="A52" s="1">
        <v>5</v>
      </c>
      <c r="B52" s="1" t="s">
        <v>1235</v>
      </c>
      <c r="C52" s="28">
        <v>1.705775462962963</v>
      </c>
      <c r="D52" s="19">
        <v>3</v>
      </c>
      <c r="E52" s="19">
        <v>3</v>
      </c>
    </row>
    <row r="53" spans="1:5" ht="12.75">
      <c r="A53" s="1">
        <v>6</v>
      </c>
      <c r="B53" s="1" t="s">
        <v>1206</v>
      </c>
      <c r="C53" s="28">
        <v>1.715289351851852</v>
      </c>
      <c r="D53" s="19">
        <v>3</v>
      </c>
      <c r="E53" s="19">
        <v>1</v>
      </c>
    </row>
    <row r="54" spans="1:5" ht="12.75">
      <c r="A54" s="1">
        <v>7</v>
      </c>
      <c r="B54" s="1" t="s">
        <v>1196</v>
      </c>
      <c r="C54" s="28">
        <v>1.7168055555555555</v>
      </c>
      <c r="D54" s="19">
        <v>1</v>
      </c>
      <c r="E54" s="19">
        <v>5</v>
      </c>
    </row>
    <row r="55" spans="1:5" ht="12.75">
      <c r="A55" s="1">
        <v>8</v>
      </c>
      <c r="B55" s="1" t="s">
        <v>1183</v>
      </c>
      <c r="C55" s="28">
        <v>1.7576967592592592</v>
      </c>
      <c r="D55" s="19">
        <v>1</v>
      </c>
      <c r="E55" s="19">
        <v>9</v>
      </c>
    </row>
    <row r="58" spans="1:5" ht="12.75">
      <c r="A58" s="160" t="s">
        <v>1274</v>
      </c>
      <c r="B58" s="161"/>
      <c r="C58" s="162"/>
      <c r="D58" s="144" t="s">
        <v>1008</v>
      </c>
      <c r="E58" s="144" t="s">
        <v>590</v>
      </c>
    </row>
    <row r="59" spans="1:5" ht="12.75">
      <c r="A59" s="163"/>
      <c r="B59" s="164"/>
      <c r="C59" s="165"/>
      <c r="D59" s="145"/>
      <c r="E59" s="145"/>
    </row>
    <row r="60" spans="1:5" ht="38.25">
      <c r="A60" s="35" t="s">
        <v>940</v>
      </c>
      <c r="B60" s="63" t="s">
        <v>1271</v>
      </c>
      <c r="C60" s="35" t="s">
        <v>852</v>
      </c>
      <c r="D60" s="50" t="s">
        <v>1007</v>
      </c>
      <c r="E60" s="50" t="s">
        <v>591</v>
      </c>
    </row>
    <row r="61" spans="1:5" ht="12.75">
      <c r="A61" s="35">
        <v>1</v>
      </c>
      <c r="B61" s="60" t="s">
        <v>1160</v>
      </c>
      <c r="C61" s="54">
        <v>1.5000231481481483</v>
      </c>
      <c r="D61" s="19">
        <v>1</v>
      </c>
      <c r="E61" s="19">
        <v>0</v>
      </c>
    </row>
    <row r="62" spans="1:5" ht="12.75">
      <c r="A62" s="1">
        <v>2</v>
      </c>
      <c r="B62" s="1" t="s">
        <v>1181</v>
      </c>
      <c r="C62" s="28">
        <v>1.590972222222222</v>
      </c>
      <c r="D62" s="19">
        <v>2</v>
      </c>
      <c r="E62" s="19">
        <v>1</v>
      </c>
    </row>
    <row r="63" spans="1:5" ht="12.75">
      <c r="A63" s="1">
        <v>3</v>
      </c>
      <c r="B63" s="1" t="s">
        <v>1188</v>
      </c>
      <c r="C63" s="28">
        <v>1.5986689814814816</v>
      </c>
      <c r="D63" s="19">
        <v>1</v>
      </c>
      <c r="E63" s="19">
        <v>2</v>
      </c>
    </row>
    <row r="64" spans="1:5" ht="12.75">
      <c r="A64" s="1">
        <v>4</v>
      </c>
      <c r="B64" s="1" t="s">
        <v>1203</v>
      </c>
      <c r="C64" s="28">
        <v>1.5989351851851852</v>
      </c>
      <c r="D64" s="19">
        <v>2</v>
      </c>
      <c r="E64" s="19">
        <v>1</v>
      </c>
    </row>
    <row r="65" spans="1:5" ht="12.75">
      <c r="A65" s="1">
        <v>5</v>
      </c>
      <c r="B65" s="1" t="s">
        <v>1200</v>
      </c>
      <c r="C65" s="28">
        <v>1.6015625</v>
      </c>
      <c r="D65" s="19">
        <v>1</v>
      </c>
      <c r="E65" s="19">
        <v>0</v>
      </c>
    </row>
    <row r="66" spans="1:5" ht="12.75">
      <c r="A66" s="1">
        <v>6</v>
      </c>
      <c r="B66" s="1" t="s">
        <v>1209</v>
      </c>
      <c r="C66" s="28">
        <v>1.602303240740741</v>
      </c>
      <c r="D66" s="19">
        <v>2</v>
      </c>
      <c r="E66" s="19">
        <v>1</v>
      </c>
    </row>
    <row r="67" spans="1:5" ht="12.75">
      <c r="A67" s="1">
        <v>7</v>
      </c>
      <c r="B67" s="1" t="s">
        <v>1198</v>
      </c>
      <c r="C67" s="28">
        <v>1.6140277777777776</v>
      </c>
      <c r="D67" s="19">
        <v>3</v>
      </c>
      <c r="E67" s="19">
        <v>2</v>
      </c>
    </row>
    <row r="68" spans="1:5" ht="12.75">
      <c r="A68" s="1">
        <v>8</v>
      </c>
      <c r="B68" s="1" t="s">
        <v>1230</v>
      </c>
      <c r="C68" s="28">
        <v>1.6667245370370372</v>
      </c>
      <c r="D68" s="19">
        <v>0</v>
      </c>
      <c r="E68" s="19">
        <v>5</v>
      </c>
    </row>
    <row r="71" spans="1:5" ht="12.75">
      <c r="A71" s="160" t="s">
        <v>1275</v>
      </c>
      <c r="B71" s="161"/>
      <c r="C71" s="162"/>
      <c r="D71" s="144" t="s">
        <v>1008</v>
      </c>
      <c r="E71" s="144" t="s">
        <v>590</v>
      </c>
    </row>
    <row r="72" spans="1:5" ht="12.75">
      <c r="A72" s="163"/>
      <c r="B72" s="164"/>
      <c r="C72" s="165"/>
      <c r="D72" s="145"/>
      <c r="E72" s="145"/>
    </row>
    <row r="73" spans="1:5" ht="38.25">
      <c r="A73" s="35" t="s">
        <v>940</v>
      </c>
      <c r="B73" s="63" t="s">
        <v>1271</v>
      </c>
      <c r="C73" s="35" t="s">
        <v>852</v>
      </c>
      <c r="D73" s="50" t="s">
        <v>1007</v>
      </c>
      <c r="E73" s="50" t="s">
        <v>591</v>
      </c>
    </row>
    <row r="74" spans="1:5" ht="12.75">
      <c r="A74" s="35">
        <v>1</v>
      </c>
      <c r="B74" s="60" t="s">
        <v>1173</v>
      </c>
      <c r="C74" s="54">
        <v>1.5570601851851853</v>
      </c>
      <c r="D74" s="19">
        <v>2</v>
      </c>
      <c r="E74" s="19">
        <v>1</v>
      </c>
    </row>
    <row r="75" spans="1:5" ht="12.75">
      <c r="A75" s="1">
        <v>2</v>
      </c>
      <c r="B75" s="1" t="s">
        <v>1221</v>
      </c>
      <c r="C75" s="28">
        <v>1.5578587962962962</v>
      </c>
      <c r="D75" s="19">
        <v>1</v>
      </c>
      <c r="E75" s="19">
        <v>2</v>
      </c>
    </row>
    <row r="76" spans="1:5" ht="12.75">
      <c r="A76" s="1">
        <v>3</v>
      </c>
      <c r="B76" s="57" t="s">
        <v>1226</v>
      </c>
      <c r="C76" s="28">
        <v>1.5730555555555554</v>
      </c>
      <c r="D76" s="19">
        <v>2</v>
      </c>
      <c r="E76" s="19">
        <v>2</v>
      </c>
    </row>
    <row r="77" spans="1:5" ht="12.75">
      <c r="A77" s="1">
        <v>4</v>
      </c>
      <c r="B77" s="1" t="s">
        <v>1228</v>
      </c>
      <c r="C77" s="28">
        <v>1.5756597222222222</v>
      </c>
      <c r="D77" s="19">
        <v>2</v>
      </c>
      <c r="E77" s="19">
        <v>2</v>
      </c>
    </row>
    <row r="78" spans="1:5" ht="12.75">
      <c r="A78" s="1">
        <v>5</v>
      </c>
      <c r="B78" s="1" t="s">
        <v>1167</v>
      </c>
      <c r="C78" s="28">
        <v>1.5987152777777778</v>
      </c>
      <c r="D78" s="19">
        <v>3</v>
      </c>
      <c r="E78" s="19">
        <v>1</v>
      </c>
    </row>
    <row r="79" spans="1:5" ht="12.75">
      <c r="A79" s="1">
        <v>6</v>
      </c>
      <c r="B79" s="57" t="s">
        <v>1233</v>
      </c>
      <c r="C79" s="28">
        <v>1.6140046296296298</v>
      </c>
      <c r="D79" s="19">
        <v>1</v>
      </c>
      <c r="E79" s="19">
        <v>2</v>
      </c>
    </row>
    <row r="80" spans="1:5" ht="12.75">
      <c r="A80" s="1">
        <v>7</v>
      </c>
      <c r="B80" s="1" t="s">
        <v>1237</v>
      </c>
      <c r="C80" s="28">
        <v>1.6369212962962962</v>
      </c>
      <c r="D80" s="19">
        <v>1</v>
      </c>
      <c r="E80" s="19">
        <v>2</v>
      </c>
    </row>
    <row r="81" spans="1:5" ht="12.75">
      <c r="A81" s="1">
        <v>8</v>
      </c>
      <c r="B81" s="1" t="s">
        <v>1243</v>
      </c>
      <c r="C81" s="28">
        <v>1.6579282407407405</v>
      </c>
      <c r="D81" s="19">
        <v>0</v>
      </c>
      <c r="E81" s="19">
        <v>0</v>
      </c>
    </row>
    <row r="83" ht="12.75">
      <c r="B83" s="93" t="s">
        <v>1074</v>
      </c>
    </row>
    <row r="84" spans="1:3" ht="12.75">
      <c r="A84" s="35"/>
      <c r="B84" s="63" t="s">
        <v>1271</v>
      </c>
      <c r="C84" s="35" t="s">
        <v>852</v>
      </c>
    </row>
    <row r="85" spans="1:7" ht="12.75">
      <c r="A85" s="1">
        <v>1</v>
      </c>
      <c r="B85" s="60" t="s">
        <v>1160</v>
      </c>
      <c r="C85" s="54">
        <v>1.5000231481481483</v>
      </c>
      <c r="G85" s="72"/>
    </row>
    <row r="86" spans="1:7" ht="12.75">
      <c r="A86" s="1">
        <v>2</v>
      </c>
      <c r="B86" s="60" t="s">
        <v>1155</v>
      </c>
      <c r="C86" s="54">
        <v>1.5174884259259258</v>
      </c>
      <c r="G86" s="72"/>
    </row>
    <row r="87" spans="1:7" ht="12.75">
      <c r="A87" s="1">
        <v>3</v>
      </c>
      <c r="B87" s="84" t="s">
        <v>1189</v>
      </c>
      <c r="C87" s="28">
        <v>1.5416898148148148</v>
      </c>
      <c r="G87" s="72"/>
    </row>
    <row r="88" spans="1:7" ht="12.75">
      <c r="A88" s="1">
        <v>4</v>
      </c>
      <c r="B88" s="60" t="s">
        <v>1157</v>
      </c>
      <c r="C88" s="54">
        <v>1.5445717592592594</v>
      </c>
      <c r="G88" s="72"/>
    </row>
    <row r="89" spans="1:7" ht="12.75">
      <c r="A89" s="1">
        <v>5</v>
      </c>
      <c r="B89" s="84" t="s">
        <v>1151</v>
      </c>
      <c r="C89" s="28">
        <v>1.5473958333333335</v>
      </c>
      <c r="G89" s="72"/>
    </row>
    <row r="90" spans="1:7" ht="12.75">
      <c r="A90" s="1">
        <v>6</v>
      </c>
      <c r="B90" s="60" t="s">
        <v>1148</v>
      </c>
      <c r="C90" s="54">
        <v>1.5493402777777778</v>
      </c>
      <c r="G90" s="72"/>
    </row>
    <row r="91" spans="1:7" ht="12.75">
      <c r="A91" s="1">
        <v>7</v>
      </c>
      <c r="B91" s="1" t="s">
        <v>1190</v>
      </c>
      <c r="C91" s="28">
        <v>1.5494444444444444</v>
      </c>
      <c r="G91" s="72"/>
    </row>
    <row r="92" spans="1:7" ht="12.75">
      <c r="A92" s="1">
        <v>8</v>
      </c>
      <c r="B92" s="60" t="s">
        <v>1153</v>
      </c>
      <c r="C92" s="54">
        <v>1.549525462962963</v>
      </c>
      <c r="G92" s="72"/>
    </row>
    <row r="93" spans="1:7" ht="12.75">
      <c r="A93" s="1">
        <v>9</v>
      </c>
      <c r="B93" s="1" t="s">
        <v>1165</v>
      </c>
      <c r="C93" s="28">
        <v>1.550173611111111</v>
      </c>
      <c r="G93" s="72"/>
    </row>
    <row r="94" spans="1:7" ht="12.75">
      <c r="A94" s="1">
        <v>10</v>
      </c>
      <c r="B94" s="60" t="s">
        <v>1173</v>
      </c>
      <c r="C94" s="54">
        <v>1.5570601851851853</v>
      </c>
      <c r="G94" s="72"/>
    </row>
    <row r="95" spans="1:7" ht="12.75">
      <c r="A95" s="1">
        <v>11</v>
      </c>
      <c r="B95" s="1" t="s">
        <v>1221</v>
      </c>
      <c r="C95" s="28">
        <v>1.5578587962962962</v>
      </c>
      <c r="G95" s="72"/>
    </row>
    <row r="96" spans="1:7" ht="12.75">
      <c r="A96" s="1">
        <v>12</v>
      </c>
      <c r="B96" s="1" t="s">
        <v>1161</v>
      </c>
      <c r="C96" s="28">
        <v>1.5592245370370372</v>
      </c>
      <c r="G96" s="72"/>
    </row>
    <row r="97" spans="1:7" ht="12.75">
      <c r="A97" s="1">
        <v>13</v>
      </c>
      <c r="B97" s="1" t="s">
        <v>1223</v>
      </c>
      <c r="C97" s="28">
        <v>1.5716898148148148</v>
      </c>
      <c r="G97" s="72"/>
    </row>
    <row r="98" spans="1:7" ht="12.75">
      <c r="A98" s="1">
        <v>14</v>
      </c>
      <c r="B98" s="1" t="s">
        <v>1164</v>
      </c>
      <c r="C98" s="28">
        <v>1.572349537037037</v>
      </c>
      <c r="G98" s="72"/>
    </row>
    <row r="99" spans="1:7" ht="12.75">
      <c r="A99" s="1">
        <v>15</v>
      </c>
      <c r="B99" s="1" t="s">
        <v>1226</v>
      </c>
      <c r="C99" s="28">
        <v>1.5730555555555554</v>
      </c>
      <c r="G99" s="72"/>
    </row>
    <row r="100" spans="1:7" ht="12.75">
      <c r="A100" s="1">
        <v>16</v>
      </c>
      <c r="B100" s="1" t="s">
        <v>1228</v>
      </c>
      <c r="C100" s="28">
        <v>1.5756597222222222</v>
      </c>
      <c r="G100" s="72"/>
    </row>
    <row r="101" spans="1:7" ht="12.75">
      <c r="A101" s="1">
        <v>17</v>
      </c>
      <c r="B101" s="1" t="s">
        <v>1194</v>
      </c>
      <c r="C101" s="28">
        <v>1.5806712962962963</v>
      </c>
      <c r="G101" s="72"/>
    </row>
    <row r="102" spans="1:7" ht="12.75">
      <c r="A102" s="1">
        <v>18</v>
      </c>
      <c r="B102" s="1" t="s">
        <v>1176</v>
      </c>
      <c r="C102" s="28">
        <v>1.5834722222222222</v>
      </c>
      <c r="G102" s="72"/>
    </row>
    <row r="103" spans="1:7" ht="12.75">
      <c r="A103" s="1">
        <v>19</v>
      </c>
      <c r="B103" s="1" t="s">
        <v>1181</v>
      </c>
      <c r="C103" s="28">
        <v>1.590972222222222</v>
      </c>
      <c r="G103" s="72"/>
    </row>
    <row r="104" spans="1:7" ht="12.75">
      <c r="A104" s="1">
        <v>20</v>
      </c>
      <c r="B104" s="19" t="s">
        <v>1192</v>
      </c>
      <c r="C104" s="28">
        <v>1.591076388888889</v>
      </c>
      <c r="G104" s="72"/>
    </row>
    <row r="105" spans="1:7" ht="12.75">
      <c r="A105" s="1">
        <v>21</v>
      </c>
      <c r="B105" s="1" t="s">
        <v>1188</v>
      </c>
      <c r="C105" s="28">
        <v>1.5986689814814816</v>
      </c>
      <c r="G105" s="72"/>
    </row>
    <row r="106" spans="1:7" ht="12.75">
      <c r="A106" s="1">
        <v>22</v>
      </c>
      <c r="B106" s="1" t="s">
        <v>1177</v>
      </c>
      <c r="C106" s="28">
        <v>1.5987152777777778</v>
      </c>
      <c r="G106" s="72"/>
    </row>
    <row r="107" spans="1:7" ht="12.75">
      <c r="A107" s="1">
        <v>23</v>
      </c>
      <c r="B107" s="1" t="s">
        <v>1167</v>
      </c>
      <c r="C107" s="28">
        <v>1.5987152777777778</v>
      </c>
      <c r="G107" s="72"/>
    </row>
    <row r="108" spans="1:7" ht="12.75">
      <c r="A108" s="1">
        <v>24</v>
      </c>
      <c r="B108" s="1" t="s">
        <v>1242</v>
      </c>
      <c r="C108" s="28">
        <v>1.598912037037037</v>
      </c>
      <c r="G108" s="72"/>
    </row>
    <row r="109" spans="1:7" ht="12.75">
      <c r="A109" s="1">
        <v>25</v>
      </c>
      <c r="B109" s="1" t="s">
        <v>1203</v>
      </c>
      <c r="C109" s="28">
        <v>1.5989351851851852</v>
      </c>
      <c r="G109" s="72"/>
    </row>
    <row r="110" spans="1:7" ht="12.75">
      <c r="A110" s="1">
        <v>26</v>
      </c>
      <c r="B110" s="1" t="s">
        <v>1214</v>
      </c>
      <c r="C110" s="28">
        <v>1.5994328703703704</v>
      </c>
      <c r="G110" s="72"/>
    </row>
    <row r="111" spans="1:7" ht="12.75">
      <c r="A111" s="1">
        <v>27</v>
      </c>
      <c r="B111" s="1" t="s">
        <v>1179</v>
      </c>
      <c r="C111" s="28">
        <v>1.6015162037037038</v>
      </c>
      <c r="G111" s="72"/>
    </row>
    <row r="112" spans="1:7" ht="12.75">
      <c r="A112" s="1">
        <v>28</v>
      </c>
      <c r="B112" s="1" t="s">
        <v>1200</v>
      </c>
      <c r="C112" s="28">
        <v>1.6015625</v>
      </c>
      <c r="G112" s="72"/>
    </row>
    <row r="113" spans="1:7" ht="12.75">
      <c r="A113" s="1">
        <v>29</v>
      </c>
      <c r="B113" s="1" t="s">
        <v>1209</v>
      </c>
      <c r="C113" s="28">
        <v>1.602303240740741</v>
      </c>
      <c r="G113" s="72"/>
    </row>
    <row r="114" spans="1:7" ht="12.75">
      <c r="A114" s="1">
        <v>30</v>
      </c>
      <c r="B114" s="1" t="s">
        <v>1233</v>
      </c>
      <c r="C114" s="28">
        <v>1.6140046296296298</v>
      </c>
      <c r="G114" s="72"/>
    </row>
    <row r="115" spans="1:7" ht="12.75">
      <c r="A115" s="1">
        <v>31</v>
      </c>
      <c r="B115" s="1" t="s">
        <v>1169</v>
      </c>
      <c r="C115" s="28">
        <v>1.6140162037037038</v>
      </c>
      <c r="G115" s="72"/>
    </row>
    <row r="116" spans="1:7" ht="12.75">
      <c r="A116" s="1">
        <v>32</v>
      </c>
      <c r="B116" s="1" t="s">
        <v>1198</v>
      </c>
      <c r="C116" s="28">
        <v>1.6140277777777776</v>
      </c>
      <c r="G116" s="72"/>
    </row>
    <row r="117" spans="1:7" ht="12.75">
      <c r="A117" s="1">
        <v>33</v>
      </c>
      <c r="B117" s="1" t="s">
        <v>1185</v>
      </c>
      <c r="C117" s="28">
        <v>1.6141087962962963</v>
      </c>
      <c r="G117" s="72"/>
    </row>
    <row r="118" spans="1:7" ht="12.75">
      <c r="A118" s="1">
        <v>34</v>
      </c>
      <c r="B118" s="1" t="s">
        <v>1211</v>
      </c>
      <c r="C118" s="28">
        <v>1.6179976851851852</v>
      </c>
      <c r="G118" s="72"/>
    </row>
    <row r="119" spans="1:7" ht="12.75">
      <c r="A119" s="1">
        <v>35</v>
      </c>
      <c r="B119" s="1" t="s">
        <v>1208</v>
      </c>
      <c r="C119" s="28">
        <v>1.6223611111111111</v>
      </c>
      <c r="G119" s="72"/>
    </row>
    <row r="120" spans="1:7" ht="12.75">
      <c r="A120" s="1">
        <v>36</v>
      </c>
      <c r="B120" s="1" t="s">
        <v>1215</v>
      </c>
      <c r="C120" s="28">
        <v>1.6292824074074073</v>
      </c>
      <c r="G120" s="72"/>
    </row>
    <row r="121" spans="1:7" ht="12.75">
      <c r="A121" s="1">
        <v>37</v>
      </c>
      <c r="B121" s="1" t="s">
        <v>1219</v>
      </c>
      <c r="C121" s="28">
        <v>1.6299884259259259</v>
      </c>
      <c r="G121" s="72"/>
    </row>
    <row r="122" spans="1:7" ht="12.75">
      <c r="A122" s="1">
        <v>38</v>
      </c>
      <c r="B122" s="1" t="s">
        <v>1171</v>
      </c>
      <c r="C122" s="28">
        <v>1.6319675925925925</v>
      </c>
      <c r="G122" s="72"/>
    </row>
    <row r="123" spans="1:7" ht="12.75">
      <c r="A123" s="1">
        <v>39</v>
      </c>
      <c r="B123" s="1" t="s">
        <v>1237</v>
      </c>
      <c r="C123" s="28">
        <v>1.6369212962962962</v>
      </c>
      <c r="G123" s="72"/>
    </row>
    <row r="124" spans="1:7" ht="12.75">
      <c r="A124" s="1">
        <v>40</v>
      </c>
      <c r="B124" s="1" t="s">
        <v>1218</v>
      </c>
      <c r="C124" s="28">
        <v>1.6556828703703703</v>
      </c>
      <c r="G124" s="72"/>
    </row>
    <row r="125" spans="1:7" ht="12.75">
      <c r="A125" s="1">
        <v>41</v>
      </c>
      <c r="B125" s="1" t="s">
        <v>1243</v>
      </c>
      <c r="C125" s="28">
        <v>1.6579282407407405</v>
      </c>
      <c r="G125" s="72"/>
    </row>
    <row r="126" spans="1:7" ht="12.75">
      <c r="A126" s="1">
        <v>42</v>
      </c>
      <c r="B126" s="1" t="s">
        <v>1230</v>
      </c>
      <c r="C126" s="28">
        <v>1.6667245370370372</v>
      </c>
      <c r="G126" s="72"/>
    </row>
    <row r="127" spans="1:7" ht="12.75">
      <c r="A127" s="1">
        <v>43</v>
      </c>
      <c r="B127" s="57" t="s">
        <v>1232</v>
      </c>
      <c r="C127" s="28">
        <v>1.6730555555555557</v>
      </c>
      <c r="G127" s="72"/>
    </row>
    <row r="128" spans="1:7" ht="12.75">
      <c r="A128" s="1">
        <v>44</v>
      </c>
      <c r="B128" s="1" t="s">
        <v>1235</v>
      </c>
      <c r="C128" s="28">
        <v>1.705775462962963</v>
      </c>
      <c r="G128" s="72"/>
    </row>
    <row r="129" spans="1:7" ht="12.75">
      <c r="A129" s="1">
        <v>45</v>
      </c>
      <c r="B129" s="1" t="s">
        <v>1206</v>
      </c>
      <c r="C129" s="28">
        <v>1.715289351851852</v>
      </c>
      <c r="G129" s="72"/>
    </row>
    <row r="130" spans="1:7" ht="12.75">
      <c r="A130" s="1">
        <v>46</v>
      </c>
      <c r="B130" s="57" t="s">
        <v>1196</v>
      </c>
      <c r="C130" s="28">
        <v>1.7168055555555555</v>
      </c>
      <c r="G130" s="72"/>
    </row>
    <row r="131" spans="1:7" ht="12.75">
      <c r="A131" s="1">
        <v>47</v>
      </c>
      <c r="B131" s="1" t="s">
        <v>1244</v>
      </c>
      <c r="C131" s="28">
        <v>1.7181712962962965</v>
      </c>
      <c r="G131" s="72"/>
    </row>
    <row r="132" spans="1:7" ht="12.75">
      <c r="A132" s="1">
        <v>48</v>
      </c>
      <c r="B132" s="1" t="s">
        <v>1183</v>
      </c>
      <c r="C132" s="28">
        <v>1.7576967592592592</v>
      </c>
      <c r="G132" s="72"/>
    </row>
  </sheetData>
  <mergeCells count="21">
    <mergeCell ref="B3:E3"/>
    <mergeCell ref="D45:D46"/>
    <mergeCell ref="B1:E1"/>
    <mergeCell ref="A58:C59"/>
    <mergeCell ref="D58:D59"/>
    <mergeCell ref="E58:E59"/>
    <mergeCell ref="A6:C7"/>
    <mergeCell ref="A19:C20"/>
    <mergeCell ref="D19:D20"/>
    <mergeCell ref="E19:E20"/>
    <mergeCell ref="B2:F2"/>
    <mergeCell ref="D6:D7"/>
    <mergeCell ref="E6:E7"/>
    <mergeCell ref="A71:C72"/>
    <mergeCell ref="D71:D72"/>
    <mergeCell ref="E71:E72"/>
    <mergeCell ref="A32:C33"/>
    <mergeCell ref="D32:D33"/>
    <mergeCell ref="E32:E33"/>
    <mergeCell ref="A45:C46"/>
    <mergeCell ref="E45:E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3" sqref="B3:E3"/>
    </sheetView>
  </sheetViews>
  <sheetFormatPr defaultColWidth="9.00390625" defaultRowHeight="12.75"/>
  <cols>
    <col min="1" max="1" width="3.75390625" style="0" customWidth="1"/>
    <col min="2" max="2" width="34.375" style="0" customWidth="1"/>
    <col min="3" max="3" width="15.75390625" style="0" customWidth="1"/>
    <col min="4" max="4" width="15.25390625" style="0" customWidth="1"/>
    <col min="5" max="5" width="20.00390625" style="0" customWidth="1"/>
    <col min="6" max="6" width="15.625" style="0" customWidth="1"/>
    <col min="7" max="7" width="19.75390625" style="0" customWidth="1"/>
  </cols>
  <sheetData>
    <row r="1" spans="2:5" ht="12.75">
      <c r="B1" s="126" t="s">
        <v>1503</v>
      </c>
      <c r="C1" s="126"/>
      <c r="D1" s="126"/>
      <c r="E1" s="126"/>
    </row>
    <row r="2" spans="2:6" ht="14.25" customHeight="1">
      <c r="B2" s="153" t="s">
        <v>1501</v>
      </c>
      <c r="C2" s="153"/>
      <c r="D2" s="153"/>
      <c r="E2" s="153"/>
      <c r="F2" s="153"/>
    </row>
    <row r="3" spans="2:6" ht="15.75" customHeight="1">
      <c r="B3" s="126"/>
      <c r="C3" s="126"/>
      <c r="D3" s="126"/>
      <c r="E3" s="126"/>
      <c r="F3" s="6"/>
    </row>
    <row r="6" spans="1:5" ht="12.75">
      <c r="A6" s="160" t="s">
        <v>1502</v>
      </c>
      <c r="B6" s="161"/>
      <c r="C6" s="162"/>
      <c r="D6" s="144" t="s">
        <v>1008</v>
      </c>
      <c r="E6" s="144" t="s">
        <v>590</v>
      </c>
    </row>
    <row r="7" spans="1:5" ht="12.75">
      <c r="A7" s="163"/>
      <c r="B7" s="164"/>
      <c r="C7" s="165"/>
      <c r="D7" s="145"/>
      <c r="E7" s="145"/>
    </row>
    <row r="8" spans="1:5" ht="38.25">
      <c r="A8" s="35" t="s">
        <v>940</v>
      </c>
      <c r="B8" s="63" t="s">
        <v>1271</v>
      </c>
      <c r="C8" s="4" t="s">
        <v>852</v>
      </c>
      <c r="D8" s="50" t="s">
        <v>1007</v>
      </c>
      <c r="E8" s="50" t="s">
        <v>591</v>
      </c>
    </row>
    <row r="9" spans="1:9" ht="12.75">
      <c r="A9" s="60">
        <v>1</v>
      </c>
      <c r="B9" s="60" t="s">
        <v>1148</v>
      </c>
      <c r="C9" s="54">
        <v>1.4140046296296296</v>
      </c>
      <c r="D9" s="19">
        <v>2</v>
      </c>
      <c r="E9" s="19">
        <v>1</v>
      </c>
      <c r="F9" s="29"/>
      <c r="H9" s="78"/>
      <c r="I9" s="72"/>
    </row>
    <row r="10" spans="1:9" ht="12.75">
      <c r="A10" s="1">
        <v>2</v>
      </c>
      <c r="B10" s="19" t="s">
        <v>1155</v>
      </c>
      <c r="C10" s="28">
        <v>1.416099537037037</v>
      </c>
      <c r="D10" s="19">
        <v>3</v>
      </c>
      <c r="E10" s="19">
        <v>2</v>
      </c>
      <c r="F10" s="29"/>
      <c r="H10" s="78"/>
      <c r="I10" s="72"/>
    </row>
    <row r="11" spans="1:9" ht="12.75">
      <c r="A11" s="1">
        <v>3</v>
      </c>
      <c r="B11" s="19" t="s">
        <v>1173</v>
      </c>
      <c r="C11" s="28">
        <v>1.434247685185185</v>
      </c>
      <c r="D11" s="19">
        <v>1</v>
      </c>
      <c r="E11" s="19">
        <v>0</v>
      </c>
      <c r="F11" s="29"/>
      <c r="H11" s="78"/>
      <c r="I11" s="72"/>
    </row>
    <row r="12" spans="1:9" ht="12.75">
      <c r="A12" s="1">
        <v>4</v>
      </c>
      <c r="B12" s="19" t="s">
        <v>1157</v>
      </c>
      <c r="C12" s="28">
        <v>1.4362268518518517</v>
      </c>
      <c r="D12" s="19">
        <v>1</v>
      </c>
      <c r="E12" s="19">
        <v>1</v>
      </c>
      <c r="F12" s="47"/>
      <c r="H12" s="78"/>
      <c r="I12" s="72"/>
    </row>
    <row r="13" spans="1:9" ht="12.75">
      <c r="A13" s="1">
        <v>5</v>
      </c>
      <c r="B13" s="19" t="s">
        <v>1151</v>
      </c>
      <c r="C13" s="28">
        <v>1.4368171296296295</v>
      </c>
      <c r="D13" s="19">
        <v>2</v>
      </c>
      <c r="E13" s="19">
        <v>1</v>
      </c>
      <c r="F13" s="47"/>
      <c r="H13" s="78"/>
      <c r="I13" s="72"/>
    </row>
    <row r="14" spans="1:9" ht="12.75">
      <c r="A14" s="1">
        <v>6</v>
      </c>
      <c r="B14" s="19" t="s">
        <v>1153</v>
      </c>
      <c r="C14" s="28">
        <v>1.4410995370370372</v>
      </c>
      <c r="D14" s="19">
        <v>0</v>
      </c>
      <c r="E14" s="19">
        <v>2</v>
      </c>
      <c r="F14" s="118"/>
      <c r="H14" s="78"/>
      <c r="I14" s="72"/>
    </row>
    <row r="15" spans="1:9" ht="12.75">
      <c r="A15" s="1">
        <v>7</v>
      </c>
      <c r="B15" s="19" t="s">
        <v>1160</v>
      </c>
      <c r="C15" s="28">
        <v>1.447349537037037</v>
      </c>
      <c r="D15" s="19">
        <v>1</v>
      </c>
      <c r="E15" s="19">
        <v>1</v>
      </c>
      <c r="F15" s="47"/>
      <c r="H15" s="78"/>
      <c r="I15" s="72"/>
    </row>
    <row r="16" spans="1:9" ht="12.75">
      <c r="A16" s="1">
        <v>8</v>
      </c>
      <c r="B16" s="19" t="s">
        <v>1189</v>
      </c>
      <c r="C16" s="28">
        <v>1.4994328703703703</v>
      </c>
      <c r="D16" s="19">
        <v>0</v>
      </c>
      <c r="E16" s="19">
        <v>2</v>
      </c>
      <c r="F16" s="119"/>
      <c r="H16" s="78"/>
      <c r="I16" s="72"/>
    </row>
  </sheetData>
  <mergeCells count="6">
    <mergeCell ref="B1:E1"/>
    <mergeCell ref="A6:C7"/>
    <mergeCell ref="B2:F2"/>
    <mergeCell ref="D6:D7"/>
    <mergeCell ref="E6:E7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52"/>
  <sheetViews>
    <sheetView workbookViewId="0" topLeftCell="I280">
      <selection activeCell="K290" sqref="K290"/>
    </sheetView>
  </sheetViews>
  <sheetFormatPr defaultColWidth="9.00390625" defaultRowHeight="12.75"/>
  <cols>
    <col min="2" max="2" width="20.25390625" style="0" customWidth="1"/>
    <col min="3" max="3" width="23.625" style="0" customWidth="1"/>
    <col min="4" max="4" width="12.25390625" style="7" customWidth="1"/>
    <col min="6" max="6" width="20.25390625" style="0" customWidth="1"/>
    <col min="7" max="7" width="23.625" style="0" customWidth="1"/>
    <col min="8" max="8" width="12.25390625" style="7" customWidth="1"/>
    <col min="10" max="10" width="21.75390625" style="0" customWidth="1"/>
    <col min="11" max="11" width="23.625" style="0" customWidth="1"/>
    <col min="12" max="12" width="12.25390625" style="7" customWidth="1"/>
    <col min="15" max="15" width="24.125" style="0" customWidth="1"/>
  </cols>
  <sheetData>
    <row r="1" spans="8:13" ht="12.75">
      <c r="H1"/>
      <c r="J1" s="1" t="s">
        <v>566</v>
      </c>
      <c r="K1" s="1"/>
      <c r="L1" s="1"/>
      <c r="M1" t="s">
        <v>569</v>
      </c>
    </row>
    <row r="2" spans="2:13" ht="12.75">
      <c r="B2" t="s">
        <v>564</v>
      </c>
      <c r="F2" t="s">
        <v>565</v>
      </c>
      <c r="H2"/>
      <c r="J2" s="8" t="s">
        <v>292</v>
      </c>
      <c r="K2" s="8" t="s">
        <v>571</v>
      </c>
      <c r="L2" s="9">
        <v>360000</v>
      </c>
      <c r="M2" s="1" t="s">
        <v>567</v>
      </c>
    </row>
    <row r="3" spans="2:13" ht="12.75">
      <c r="B3" s="10" t="s">
        <v>310</v>
      </c>
      <c r="C3" s="10" t="s">
        <v>310</v>
      </c>
      <c r="D3" s="11">
        <v>2628800</v>
      </c>
      <c r="F3" s="10" t="s">
        <v>106</v>
      </c>
      <c r="G3" s="10" t="s">
        <v>107</v>
      </c>
      <c r="H3" s="11">
        <v>37900</v>
      </c>
      <c r="J3" s="13" t="s">
        <v>291</v>
      </c>
      <c r="K3" s="13" t="s">
        <v>571</v>
      </c>
      <c r="L3" s="14">
        <v>12800</v>
      </c>
      <c r="M3" s="1" t="s">
        <v>568</v>
      </c>
    </row>
    <row r="4" spans="2:13" ht="12.75">
      <c r="B4" s="10" t="s">
        <v>525</v>
      </c>
      <c r="C4" s="10" t="s">
        <v>132</v>
      </c>
      <c r="D4" s="11">
        <v>1500000</v>
      </c>
      <c r="F4" s="10" t="s">
        <v>108</v>
      </c>
      <c r="G4" s="10" t="s">
        <v>109</v>
      </c>
      <c r="H4" s="11">
        <v>96900</v>
      </c>
      <c r="J4" s="8" t="s">
        <v>26</v>
      </c>
      <c r="K4" s="8" t="s">
        <v>114</v>
      </c>
      <c r="L4" s="9">
        <v>344000</v>
      </c>
      <c r="M4" t="s">
        <v>567</v>
      </c>
    </row>
    <row r="5" spans="2:13" ht="12.75">
      <c r="B5" s="10" t="s">
        <v>242</v>
      </c>
      <c r="C5" s="10" t="s">
        <v>124</v>
      </c>
      <c r="D5" s="11">
        <v>1103000</v>
      </c>
      <c r="F5" s="10" t="s">
        <v>110</v>
      </c>
      <c r="G5" s="10" t="s">
        <v>111</v>
      </c>
      <c r="H5" s="11">
        <v>7300</v>
      </c>
      <c r="J5" s="10" t="s">
        <v>308</v>
      </c>
      <c r="K5" s="10" t="s">
        <v>114</v>
      </c>
      <c r="L5" s="11">
        <v>171000</v>
      </c>
      <c r="M5" t="s">
        <v>567</v>
      </c>
    </row>
    <row r="6" spans="2:13" ht="12.75">
      <c r="B6" s="10" t="s">
        <v>249</v>
      </c>
      <c r="C6" s="10" t="s">
        <v>107</v>
      </c>
      <c r="D6" s="11">
        <v>1050000</v>
      </c>
      <c r="F6" s="10" t="s">
        <v>112</v>
      </c>
      <c r="G6" s="10" t="s">
        <v>111</v>
      </c>
      <c r="H6" s="11">
        <v>5500</v>
      </c>
      <c r="J6" s="10" t="s">
        <v>258</v>
      </c>
      <c r="K6" s="10" t="s">
        <v>114</v>
      </c>
      <c r="L6" s="11">
        <v>114000</v>
      </c>
      <c r="M6" t="s">
        <v>567</v>
      </c>
    </row>
    <row r="7" spans="2:13" ht="12.75">
      <c r="B7" s="8" t="s">
        <v>410</v>
      </c>
      <c r="C7" s="8" t="s">
        <v>119</v>
      </c>
      <c r="D7" s="9">
        <v>1002000</v>
      </c>
      <c r="F7" s="10" t="s">
        <v>113</v>
      </c>
      <c r="G7" s="10" t="s">
        <v>114</v>
      </c>
      <c r="H7" s="11">
        <v>10300</v>
      </c>
      <c r="J7" s="8" t="s">
        <v>560</v>
      </c>
      <c r="K7" s="8" t="s">
        <v>114</v>
      </c>
      <c r="L7" s="9">
        <v>89300</v>
      </c>
      <c r="M7" t="s">
        <v>567</v>
      </c>
    </row>
    <row r="8" spans="2:13" ht="12.75">
      <c r="B8" s="10" t="s">
        <v>267</v>
      </c>
      <c r="C8" s="10" t="s">
        <v>153</v>
      </c>
      <c r="D8" s="11">
        <v>848000</v>
      </c>
      <c r="F8" s="10" t="s">
        <v>115</v>
      </c>
      <c r="G8" s="10" t="s">
        <v>114</v>
      </c>
      <c r="H8" s="11">
        <v>34800</v>
      </c>
      <c r="J8" s="10" t="s">
        <v>523</v>
      </c>
      <c r="K8" s="10" t="s">
        <v>114</v>
      </c>
      <c r="L8" s="11">
        <v>85600</v>
      </c>
      <c r="M8" t="s">
        <v>567</v>
      </c>
    </row>
    <row r="9" spans="2:13" ht="12.75">
      <c r="B9" s="10" t="s">
        <v>360</v>
      </c>
      <c r="C9" s="10" t="s">
        <v>146</v>
      </c>
      <c r="D9" s="11">
        <v>788000</v>
      </c>
      <c r="F9" s="10" t="s">
        <v>116</v>
      </c>
      <c r="G9" s="10" t="s">
        <v>111</v>
      </c>
      <c r="H9" s="11">
        <v>122000</v>
      </c>
      <c r="J9" s="10" t="s">
        <v>238</v>
      </c>
      <c r="K9" s="10" t="s">
        <v>114</v>
      </c>
      <c r="L9" s="11">
        <v>46800</v>
      </c>
      <c r="M9" t="s">
        <v>567</v>
      </c>
    </row>
    <row r="10" spans="2:13" ht="12.75">
      <c r="B10" s="10" t="s">
        <v>347</v>
      </c>
      <c r="C10" s="10" t="s">
        <v>124</v>
      </c>
      <c r="D10" s="11">
        <v>703000</v>
      </c>
      <c r="F10" s="10" t="s">
        <v>117</v>
      </c>
      <c r="G10" s="10" t="s">
        <v>107</v>
      </c>
      <c r="H10" s="11">
        <v>22700</v>
      </c>
      <c r="J10" s="10" t="s">
        <v>115</v>
      </c>
      <c r="K10" s="10" t="s">
        <v>114</v>
      </c>
      <c r="L10" s="11">
        <v>34800</v>
      </c>
      <c r="M10" t="s">
        <v>567</v>
      </c>
    </row>
    <row r="11" spans="2:13" ht="12.75">
      <c r="B11" s="10" t="s">
        <v>388</v>
      </c>
      <c r="C11" s="10" t="s">
        <v>141</v>
      </c>
      <c r="D11" s="11">
        <v>508000</v>
      </c>
      <c r="F11" s="10" t="s">
        <v>118</v>
      </c>
      <c r="G11" s="10" t="s">
        <v>119</v>
      </c>
      <c r="H11" s="11">
        <v>9600</v>
      </c>
      <c r="J11" s="10" t="s">
        <v>341</v>
      </c>
      <c r="K11" s="10" t="s">
        <v>114</v>
      </c>
      <c r="L11" s="11">
        <v>31500</v>
      </c>
      <c r="M11" t="s">
        <v>567</v>
      </c>
    </row>
    <row r="12" spans="2:13" ht="12.75">
      <c r="B12" s="10" t="s">
        <v>367</v>
      </c>
      <c r="C12" s="10" t="s">
        <v>107</v>
      </c>
      <c r="D12" s="11">
        <v>490000</v>
      </c>
      <c r="F12" s="10" t="s">
        <v>120</v>
      </c>
      <c r="G12" s="10" t="s">
        <v>121</v>
      </c>
      <c r="H12" s="11">
        <v>11100</v>
      </c>
      <c r="J12" s="8" t="s">
        <v>458</v>
      </c>
      <c r="K12" s="8" t="s">
        <v>114</v>
      </c>
      <c r="L12" s="9">
        <v>30600</v>
      </c>
      <c r="M12" t="s">
        <v>567</v>
      </c>
    </row>
    <row r="13" spans="2:13" ht="12.75">
      <c r="B13" s="10" t="s">
        <v>199</v>
      </c>
      <c r="C13" s="10" t="s">
        <v>135</v>
      </c>
      <c r="D13" s="11">
        <v>391000</v>
      </c>
      <c r="F13" s="10" t="s">
        <v>122</v>
      </c>
      <c r="G13" s="10" t="s">
        <v>111</v>
      </c>
      <c r="H13" s="11">
        <v>72800</v>
      </c>
      <c r="J13" s="10" t="s">
        <v>139</v>
      </c>
      <c r="K13" s="10" t="s">
        <v>114</v>
      </c>
      <c r="L13" s="11">
        <v>27900</v>
      </c>
      <c r="M13" t="s">
        <v>567</v>
      </c>
    </row>
    <row r="14" spans="2:13" ht="12.75">
      <c r="B14" s="10" t="s">
        <v>363</v>
      </c>
      <c r="C14" s="10" t="s">
        <v>107</v>
      </c>
      <c r="D14" s="11">
        <v>384000</v>
      </c>
      <c r="F14" s="10" t="s">
        <v>123</v>
      </c>
      <c r="G14" s="10" t="s">
        <v>124</v>
      </c>
      <c r="H14" s="11">
        <v>17500</v>
      </c>
      <c r="J14" s="10" t="s">
        <v>125</v>
      </c>
      <c r="K14" s="10" t="s">
        <v>114</v>
      </c>
      <c r="L14" s="11">
        <v>24300</v>
      </c>
      <c r="M14" t="s">
        <v>567</v>
      </c>
    </row>
    <row r="15" spans="2:13" ht="12.75">
      <c r="B15" s="8" t="s">
        <v>53</v>
      </c>
      <c r="C15" s="8" t="s">
        <v>163</v>
      </c>
      <c r="D15" s="9">
        <v>361000</v>
      </c>
      <c r="F15" s="10" t="s">
        <v>125</v>
      </c>
      <c r="G15" s="10" t="s">
        <v>114</v>
      </c>
      <c r="H15" s="11">
        <v>24300</v>
      </c>
      <c r="J15" s="10" t="s">
        <v>497</v>
      </c>
      <c r="K15" s="10" t="s">
        <v>114</v>
      </c>
      <c r="L15" s="11">
        <v>18600</v>
      </c>
      <c r="M15" t="s">
        <v>567</v>
      </c>
    </row>
    <row r="16" spans="2:13" ht="12.75">
      <c r="B16" s="8" t="s">
        <v>292</v>
      </c>
      <c r="C16" s="8" t="s">
        <v>292</v>
      </c>
      <c r="D16" s="9">
        <v>360000</v>
      </c>
      <c r="F16" s="10" t="s">
        <v>126</v>
      </c>
      <c r="G16" s="10" t="s">
        <v>107</v>
      </c>
      <c r="H16" s="11">
        <v>6600</v>
      </c>
      <c r="J16" s="10" t="s">
        <v>148</v>
      </c>
      <c r="K16" s="10" t="s">
        <v>114</v>
      </c>
      <c r="L16" s="11">
        <v>17200</v>
      </c>
      <c r="M16" t="s">
        <v>567</v>
      </c>
    </row>
    <row r="17" spans="2:13" ht="12.75">
      <c r="B17" s="8" t="s">
        <v>26</v>
      </c>
      <c r="C17" s="8" t="s">
        <v>114</v>
      </c>
      <c r="D17" s="9">
        <v>344000</v>
      </c>
      <c r="F17" s="10" t="s">
        <v>127</v>
      </c>
      <c r="G17" s="10" t="s">
        <v>107</v>
      </c>
      <c r="H17" s="11">
        <v>90800</v>
      </c>
      <c r="J17" s="8" t="s">
        <v>552</v>
      </c>
      <c r="K17" s="8" t="s">
        <v>114</v>
      </c>
      <c r="L17" s="9">
        <v>13100</v>
      </c>
      <c r="M17" t="s">
        <v>567</v>
      </c>
    </row>
    <row r="18" spans="2:13" ht="12.75">
      <c r="B18" s="10" t="s">
        <v>61</v>
      </c>
      <c r="C18" s="10" t="s">
        <v>214</v>
      </c>
      <c r="D18" s="11">
        <v>319000</v>
      </c>
      <c r="F18" s="10" t="s">
        <v>127</v>
      </c>
      <c r="G18" s="10" t="s">
        <v>111</v>
      </c>
      <c r="H18" s="11">
        <v>9800</v>
      </c>
      <c r="J18" s="10" t="s">
        <v>491</v>
      </c>
      <c r="K18" s="10" t="s">
        <v>114</v>
      </c>
      <c r="L18" s="11">
        <v>10700</v>
      </c>
      <c r="M18" t="s">
        <v>567</v>
      </c>
    </row>
    <row r="19" spans="2:13" ht="12.75">
      <c r="B19" s="10" t="s">
        <v>225</v>
      </c>
      <c r="C19" s="10" t="s">
        <v>107</v>
      </c>
      <c r="D19" s="11">
        <v>316000</v>
      </c>
      <c r="F19" s="10" t="s">
        <v>128</v>
      </c>
      <c r="G19" s="10" t="s">
        <v>119</v>
      </c>
      <c r="H19" s="11">
        <v>19100</v>
      </c>
      <c r="J19" s="10" t="s">
        <v>113</v>
      </c>
      <c r="K19" s="10" t="s">
        <v>114</v>
      </c>
      <c r="L19" s="11">
        <v>10300</v>
      </c>
      <c r="M19" t="s">
        <v>567</v>
      </c>
    </row>
    <row r="20" spans="2:13" ht="12.75">
      <c r="B20" s="10" t="s">
        <v>541</v>
      </c>
      <c r="C20" s="10" t="s">
        <v>138</v>
      </c>
      <c r="D20" s="11">
        <v>312000</v>
      </c>
      <c r="F20" s="10" t="s">
        <v>129</v>
      </c>
      <c r="G20" s="10" t="s">
        <v>130</v>
      </c>
      <c r="H20" s="11">
        <v>52000</v>
      </c>
      <c r="J20" s="10" t="s">
        <v>199</v>
      </c>
      <c r="K20" s="10" t="s">
        <v>135</v>
      </c>
      <c r="L20" s="11">
        <v>391000</v>
      </c>
      <c r="M20" t="s">
        <v>567</v>
      </c>
    </row>
    <row r="21" spans="2:13" ht="12.75">
      <c r="B21" s="8" t="s">
        <v>540</v>
      </c>
      <c r="C21" s="8" t="s">
        <v>189</v>
      </c>
      <c r="D21" s="9">
        <v>311000</v>
      </c>
      <c r="F21" s="10" t="s">
        <v>131</v>
      </c>
      <c r="G21" s="10" t="s">
        <v>132</v>
      </c>
      <c r="H21" s="11">
        <v>30600</v>
      </c>
      <c r="J21" s="10" t="s">
        <v>264</v>
      </c>
      <c r="K21" s="10" t="s">
        <v>135</v>
      </c>
      <c r="L21" s="11">
        <v>41200</v>
      </c>
      <c r="M21" t="s">
        <v>567</v>
      </c>
    </row>
    <row r="22" spans="2:13" ht="12.75">
      <c r="B22" s="10" t="s">
        <v>499</v>
      </c>
      <c r="C22" s="10" t="s">
        <v>130</v>
      </c>
      <c r="D22" s="11">
        <v>302000</v>
      </c>
      <c r="F22" s="10" t="s">
        <v>133</v>
      </c>
      <c r="G22" s="10" t="s">
        <v>119</v>
      </c>
      <c r="H22" s="11">
        <v>23100</v>
      </c>
      <c r="J22" s="8" t="s">
        <v>375</v>
      </c>
      <c r="K22" s="8" t="s">
        <v>135</v>
      </c>
      <c r="L22" s="9">
        <v>36000</v>
      </c>
      <c r="M22" t="s">
        <v>567</v>
      </c>
    </row>
    <row r="23" spans="2:13" ht="12.75">
      <c r="B23" s="10" t="s">
        <v>59</v>
      </c>
      <c r="C23" s="10" t="s">
        <v>121</v>
      </c>
      <c r="D23" s="11">
        <v>299000</v>
      </c>
      <c r="F23" s="10" t="s">
        <v>134</v>
      </c>
      <c r="G23" s="10" t="s">
        <v>135</v>
      </c>
      <c r="H23" s="11">
        <v>18600</v>
      </c>
      <c r="J23" s="8" t="s">
        <v>527</v>
      </c>
      <c r="K23" s="8" t="s">
        <v>135</v>
      </c>
      <c r="L23" s="9">
        <v>30500</v>
      </c>
      <c r="M23" t="s">
        <v>567</v>
      </c>
    </row>
    <row r="24" spans="2:13" ht="12.75">
      <c r="B24" s="10" t="s">
        <v>241</v>
      </c>
      <c r="C24" s="10" t="s">
        <v>124</v>
      </c>
      <c r="D24" s="11">
        <v>278000</v>
      </c>
      <c r="F24" s="10" t="s">
        <v>136</v>
      </c>
      <c r="G24" s="10" t="s">
        <v>132</v>
      </c>
      <c r="H24" s="11">
        <v>11600</v>
      </c>
      <c r="J24" s="10" t="s">
        <v>319</v>
      </c>
      <c r="K24" s="10" t="s">
        <v>135</v>
      </c>
      <c r="L24" s="11">
        <v>28900</v>
      </c>
      <c r="M24" t="s">
        <v>567</v>
      </c>
    </row>
    <row r="25" spans="2:13" ht="12.75">
      <c r="B25" s="10" t="s">
        <v>58</v>
      </c>
      <c r="C25" s="10" t="s">
        <v>109</v>
      </c>
      <c r="D25" s="11">
        <v>262800</v>
      </c>
      <c r="F25" s="10" t="s">
        <v>137</v>
      </c>
      <c r="G25" s="10" t="s">
        <v>138</v>
      </c>
      <c r="H25" s="11">
        <v>21600</v>
      </c>
      <c r="J25" s="10" t="s">
        <v>216</v>
      </c>
      <c r="K25" s="10" t="s">
        <v>135</v>
      </c>
      <c r="L25" s="11">
        <v>26700</v>
      </c>
      <c r="M25" t="s">
        <v>567</v>
      </c>
    </row>
    <row r="26" spans="2:13" ht="12.75">
      <c r="B26" s="10" t="s">
        <v>528</v>
      </c>
      <c r="C26" s="10" t="s">
        <v>206</v>
      </c>
      <c r="D26" s="11">
        <v>260000</v>
      </c>
      <c r="F26" s="10" t="s">
        <v>139</v>
      </c>
      <c r="G26" s="10" t="s">
        <v>114</v>
      </c>
      <c r="H26" s="11">
        <v>27900</v>
      </c>
      <c r="J26" s="10" t="s">
        <v>297</v>
      </c>
      <c r="K26" s="10" t="s">
        <v>135</v>
      </c>
      <c r="L26" s="11">
        <v>26121</v>
      </c>
      <c r="M26" t="s">
        <v>567</v>
      </c>
    </row>
    <row r="27" spans="2:13" ht="12.75">
      <c r="B27" s="8" t="s">
        <v>542</v>
      </c>
      <c r="C27" s="8" t="s">
        <v>192</v>
      </c>
      <c r="D27" s="9">
        <v>260000</v>
      </c>
      <c r="F27" s="10" t="s">
        <v>140</v>
      </c>
      <c r="G27" s="10" t="s">
        <v>141</v>
      </c>
      <c r="H27" s="11">
        <v>14000</v>
      </c>
      <c r="J27" s="10" t="s">
        <v>352</v>
      </c>
      <c r="K27" s="10" t="s">
        <v>135</v>
      </c>
      <c r="L27" s="11">
        <v>22500</v>
      </c>
      <c r="M27" t="s">
        <v>567</v>
      </c>
    </row>
    <row r="28" spans="2:13" ht="12.75">
      <c r="B28" s="10" t="s">
        <v>451</v>
      </c>
      <c r="C28" s="10" t="s">
        <v>255</v>
      </c>
      <c r="D28" s="11">
        <v>245000</v>
      </c>
      <c r="F28" s="10" t="s">
        <v>142</v>
      </c>
      <c r="G28" s="10" t="s">
        <v>143</v>
      </c>
      <c r="H28" s="11">
        <v>216000</v>
      </c>
      <c r="J28" s="10" t="s">
        <v>298</v>
      </c>
      <c r="K28" s="10" t="s">
        <v>135</v>
      </c>
      <c r="L28" s="11">
        <v>20800</v>
      </c>
      <c r="M28" t="s">
        <v>567</v>
      </c>
    </row>
    <row r="29" spans="2:13" ht="12.75">
      <c r="B29" s="10" t="s">
        <v>283</v>
      </c>
      <c r="C29" s="10" t="s">
        <v>172</v>
      </c>
      <c r="D29" s="11">
        <v>237200</v>
      </c>
      <c r="F29" s="10" t="s">
        <v>144</v>
      </c>
      <c r="G29" s="10" t="s">
        <v>119</v>
      </c>
      <c r="H29" s="11">
        <v>56800</v>
      </c>
      <c r="J29" s="10" t="s">
        <v>134</v>
      </c>
      <c r="K29" s="10" t="s">
        <v>135</v>
      </c>
      <c r="L29" s="11">
        <v>18600</v>
      </c>
      <c r="M29" t="s">
        <v>567</v>
      </c>
    </row>
    <row r="30" spans="2:13" ht="12.75">
      <c r="B30" s="8" t="s">
        <v>511</v>
      </c>
      <c r="C30" s="8" t="s">
        <v>157</v>
      </c>
      <c r="D30" s="9">
        <v>235000</v>
      </c>
      <c r="F30" s="10" t="s">
        <v>145</v>
      </c>
      <c r="G30" s="10" t="s">
        <v>146</v>
      </c>
      <c r="H30" s="11">
        <v>2500</v>
      </c>
      <c r="J30" s="8" t="s">
        <v>519</v>
      </c>
      <c r="K30" s="8" t="s">
        <v>135</v>
      </c>
      <c r="L30" s="9">
        <v>16600</v>
      </c>
      <c r="M30" t="s">
        <v>567</v>
      </c>
    </row>
    <row r="31" spans="2:13" ht="12.75">
      <c r="B31" s="10" t="s">
        <v>346</v>
      </c>
      <c r="C31" s="10" t="s">
        <v>214</v>
      </c>
      <c r="D31" s="11">
        <v>232407</v>
      </c>
      <c r="F31" s="10" t="s">
        <v>147</v>
      </c>
      <c r="G31" s="10" t="s">
        <v>107</v>
      </c>
      <c r="H31" s="11">
        <v>10500</v>
      </c>
      <c r="J31" s="10" t="s">
        <v>223</v>
      </c>
      <c r="K31" s="10" t="s">
        <v>135</v>
      </c>
      <c r="L31" s="11">
        <v>14400</v>
      </c>
      <c r="M31" t="s">
        <v>567</v>
      </c>
    </row>
    <row r="32" spans="2:13" ht="12.75">
      <c r="B32" s="10" t="s">
        <v>359</v>
      </c>
      <c r="C32" s="10" t="s">
        <v>161</v>
      </c>
      <c r="D32" s="11">
        <v>218000</v>
      </c>
      <c r="F32" s="10" t="s">
        <v>148</v>
      </c>
      <c r="G32" s="10" t="s">
        <v>114</v>
      </c>
      <c r="H32" s="11">
        <v>17200</v>
      </c>
      <c r="J32" s="10" t="s">
        <v>164</v>
      </c>
      <c r="K32" s="10" t="s">
        <v>135</v>
      </c>
      <c r="L32" s="11">
        <v>14200</v>
      </c>
      <c r="M32" t="s">
        <v>567</v>
      </c>
    </row>
    <row r="33" spans="2:13" ht="12.75">
      <c r="B33" s="10" t="s">
        <v>142</v>
      </c>
      <c r="C33" s="10" t="s">
        <v>143</v>
      </c>
      <c r="D33" s="11">
        <v>216000</v>
      </c>
      <c r="F33" s="10" t="s">
        <v>149</v>
      </c>
      <c r="G33" s="10" t="s">
        <v>107</v>
      </c>
      <c r="H33" s="11">
        <v>19200</v>
      </c>
      <c r="J33" s="10" t="s">
        <v>561</v>
      </c>
      <c r="K33" s="10" t="s">
        <v>135</v>
      </c>
      <c r="L33" s="11">
        <v>12800</v>
      </c>
      <c r="M33" t="s">
        <v>567</v>
      </c>
    </row>
    <row r="34" spans="2:13" ht="12.75">
      <c r="B34" s="10" t="s">
        <v>335</v>
      </c>
      <c r="C34" s="10" t="s">
        <v>107</v>
      </c>
      <c r="D34" s="11">
        <v>194000</v>
      </c>
      <c r="F34" s="10" t="s">
        <v>150</v>
      </c>
      <c r="G34" s="10" t="s">
        <v>130</v>
      </c>
      <c r="H34" s="11">
        <v>18800</v>
      </c>
      <c r="J34" s="8" t="s">
        <v>386</v>
      </c>
      <c r="K34" s="8" t="s">
        <v>135</v>
      </c>
      <c r="L34" s="9">
        <v>11900</v>
      </c>
      <c r="M34" t="s">
        <v>567</v>
      </c>
    </row>
    <row r="35" spans="2:13" ht="12.75">
      <c r="B35" s="10" t="s">
        <v>369</v>
      </c>
      <c r="C35" s="10" t="s">
        <v>153</v>
      </c>
      <c r="D35" s="11">
        <v>173000</v>
      </c>
      <c r="F35" s="10" t="s">
        <v>151</v>
      </c>
      <c r="G35" s="10" t="s">
        <v>119</v>
      </c>
      <c r="H35" s="11">
        <v>13300</v>
      </c>
      <c r="J35" s="10" t="s">
        <v>427</v>
      </c>
      <c r="K35" s="10" t="s">
        <v>135</v>
      </c>
      <c r="L35" s="11">
        <v>11500</v>
      </c>
      <c r="M35" t="s">
        <v>567</v>
      </c>
    </row>
    <row r="36" spans="2:13" ht="12.75">
      <c r="B36" s="10" t="s">
        <v>308</v>
      </c>
      <c r="C36" s="10" t="s">
        <v>114</v>
      </c>
      <c r="D36" s="11">
        <v>171000</v>
      </c>
      <c r="F36" s="10" t="s">
        <v>105</v>
      </c>
      <c r="G36" s="10" t="s">
        <v>121</v>
      </c>
      <c r="H36" s="11">
        <v>93400</v>
      </c>
      <c r="J36" s="8" t="s">
        <v>547</v>
      </c>
      <c r="K36" s="8" t="s">
        <v>135</v>
      </c>
      <c r="L36" s="9">
        <v>7700</v>
      </c>
      <c r="M36" t="s">
        <v>567</v>
      </c>
    </row>
    <row r="37" spans="2:13" ht="12.75">
      <c r="B37" s="8" t="s">
        <v>389</v>
      </c>
      <c r="C37" s="8" t="s">
        <v>124</v>
      </c>
      <c r="D37" s="9">
        <v>154000</v>
      </c>
      <c r="F37" s="10" t="s">
        <v>152</v>
      </c>
      <c r="G37" s="10" t="s">
        <v>153</v>
      </c>
      <c r="H37" s="11">
        <v>134000</v>
      </c>
      <c r="J37" s="10" t="s">
        <v>288</v>
      </c>
      <c r="K37" s="10" t="s">
        <v>135</v>
      </c>
      <c r="L37" s="11">
        <v>11400</v>
      </c>
      <c r="M37" t="s">
        <v>568</v>
      </c>
    </row>
    <row r="38" spans="2:13" ht="12.75">
      <c r="B38" s="10" t="s">
        <v>354</v>
      </c>
      <c r="C38" s="10" t="s">
        <v>111</v>
      </c>
      <c r="D38" s="11">
        <v>136000</v>
      </c>
      <c r="F38" s="10" t="s">
        <v>154</v>
      </c>
      <c r="G38" s="10" t="s">
        <v>155</v>
      </c>
      <c r="H38" s="11">
        <v>28900</v>
      </c>
      <c r="J38" s="10" t="s">
        <v>359</v>
      </c>
      <c r="K38" s="10" t="s">
        <v>161</v>
      </c>
      <c r="L38" s="11">
        <v>218000</v>
      </c>
      <c r="M38" t="s">
        <v>567</v>
      </c>
    </row>
    <row r="39" spans="2:13" ht="12.75">
      <c r="B39" s="10" t="s">
        <v>152</v>
      </c>
      <c r="C39" s="10" t="s">
        <v>153</v>
      </c>
      <c r="D39" s="11">
        <v>134000</v>
      </c>
      <c r="F39" s="10" t="s">
        <v>156</v>
      </c>
      <c r="G39" s="10" t="s">
        <v>157</v>
      </c>
      <c r="H39" s="11">
        <v>18100</v>
      </c>
      <c r="J39" s="10" t="s">
        <v>316</v>
      </c>
      <c r="K39" s="10" t="s">
        <v>161</v>
      </c>
      <c r="L39" s="11">
        <v>69700</v>
      </c>
      <c r="M39" t="s">
        <v>567</v>
      </c>
    </row>
    <row r="40" spans="2:13" ht="12.75">
      <c r="B40" s="8" t="s">
        <v>416</v>
      </c>
      <c r="C40" s="8" t="s">
        <v>124</v>
      </c>
      <c r="D40" s="9">
        <v>132000</v>
      </c>
      <c r="F40" s="10" t="s">
        <v>158</v>
      </c>
      <c r="G40" s="10" t="s">
        <v>143</v>
      </c>
      <c r="H40" s="11">
        <v>15700</v>
      </c>
      <c r="J40" s="8" t="s">
        <v>395</v>
      </c>
      <c r="K40" s="8" t="s">
        <v>161</v>
      </c>
      <c r="L40" s="9">
        <v>56400</v>
      </c>
      <c r="M40" t="s">
        <v>567</v>
      </c>
    </row>
    <row r="41" spans="2:13" ht="12.75">
      <c r="B41" s="10" t="s">
        <v>466</v>
      </c>
      <c r="C41" s="10" t="s">
        <v>111</v>
      </c>
      <c r="D41" s="11">
        <v>131000</v>
      </c>
      <c r="F41" s="10" t="s">
        <v>159</v>
      </c>
      <c r="G41" s="10" t="s">
        <v>119</v>
      </c>
      <c r="H41" s="11">
        <v>12800</v>
      </c>
      <c r="J41" s="10" t="s">
        <v>202</v>
      </c>
      <c r="K41" s="10" t="s">
        <v>161</v>
      </c>
      <c r="L41" s="11">
        <v>39800</v>
      </c>
      <c r="M41" t="s">
        <v>567</v>
      </c>
    </row>
    <row r="42" spans="2:13" ht="12.75">
      <c r="B42" s="10" t="s">
        <v>479</v>
      </c>
      <c r="C42" s="10" t="s">
        <v>107</v>
      </c>
      <c r="D42" s="11">
        <v>131000</v>
      </c>
      <c r="F42" s="10" t="s">
        <v>160</v>
      </c>
      <c r="G42" s="10" t="s">
        <v>161</v>
      </c>
      <c r="H42" s="11">
        <v>1800</v>
      </c>
      <c r="J42" s="10" t="s">
        <v>309</v>
      </c>
      <c r="K42" s="10" t="s">
        <v>161</v>
      </c>
      <c r="L42" s="11">
        <v>17400</v>
      </c>
      <c r="M42" t="s">
        <v>567</v>
      </c>
    </row>
    <row r="43" spans="2:13" ht="12.75">
      <c r="B43" s="10" t="s">
        <v>116</v>
      </c>
      <c r="C43" s="10" t="s">
        <v>111</v>
      </c>
      <c r="D43" s="11">
        <v>122000</v>
      </c>
      <c r="F43" s="10" t="s">
        <v>162</v>
      </c>
      <c r="G43" s="10" t="s">
        <v>163</v>
      </c>
      <c r="H43" s="11">
        <v>16600</v>
      </c>
      <c r="J43" s="8" t="s">
        <v>454</v>
      </c>
      <c r="K43" s="8" t="s">
        <v>161</v>
      </c>
      <c r="L43" s="9">
        <v>14500</v>
      </c>
      <c r="M43" t="s">
        <v>567</v>
      </c>
    </row>
    <row r="44" spans="2:13" ht="12.75">
      <c r="B44" s="10" t="s">
        <v>258</v>
      </c>
      <c r="C44" s="10" t="s">
        <v>114</v>
      </c>
      <c r="D44" s="11">
        <v>114000</v>
      </c>
      <c r="F44" s="10" t="s">
        <v>164</v>
      </c>
      <c r="G44" s="10" t="s">
        <v>135</v>
      </c>
      <c r="H44" s="11">
        <v>14200</v>
      </c>
      <c r="J44" s="10" t="s">
        <v>304</v>
      </c>
      <c r="K44" s="10" t="s">
        <v>161</v>
      </c>
      <c r="L44" s="11">
        <v>11600</v>
      </c>
      <c r="M44" t="s">
        <v>567</v>
      </c>
    </row>
    <row r="45" spans="2:13" ht="12.75">
      <c r="B45" s="10" t="s">
        <v>259</v>
      </c>
      <c r="C45" s="10" t="s">
        <v>107</v>
      </c>
      <c r="D45" s="11">
        <v>111400</v>
      </c>
      <c r="F45" s="10" t="s">
        <v>165</v>
      </c>
      <c r="G45" s="10" t="s">
        <v>109</v>
      </c>
      <c r="H45" s="11">
        <v>12800</v>
      </c>
      <c r="J45" s="10" t="s">
        <v>361</v>
      </c>
      <c r="K45" s="10" t="s">
        <v>161</v>
      </c>
      <c r="L45" s="11">
        <v>10200</v>
      </c>
      <c r="M45" t="s">
        <v>567</v>
      </c>
    </row>
    <row r="46" spans="2:13" ht="12.75">
      <c r="B46" s="10" t="s">
        <v>300</v>
      </c>
      <c r="C46" s="10" t="s">
        <v>206</v>
      </c>
      <c r="D46" s="11">
        <v>108000</v>
      </c>
      <c r="F46" s="10" t="s">
        <v>166</v>
      </c>
      <c r="G46" s="10" t="s">
        <v>146</v>
      </c>
      <c r="H46" s="11">
        <v>4400</v>
      </c>
      <c r="J46" s="10" t="s">
        <v>231</v>
      </c>
      <c r="K46" s="10" t="s">
        <v>161</v>
      </c>
      <c r="L46" s="11">
        <v>10100</v>
      </c>
      <c r="M46" t="s">
        <v>567</v>
      </c>
    </row>
    <row r="47" spans="2:13" ht="12.75">
      <c r="B47" s="10" t="s">
        <v>325</v>
      </c>
      <c r="C47" s="10" t="s">
        <v>107</v>
      </c>
      <c r="D47" s="11">
        <v>100000</v>
      </c>
      <c r="F47" s="10" t="s">
        <v>167</v>
      </c>
      <c r="G47" s="10" t="s">
        <v>138</v>
      </c>
      <c r="H47" s="11">
        <v>11900</v>
      </c>
      <c r="J47" s="10" t="s">
        <v>160</v>
      </c>
      <c r="K47" s="10" t="s">
        <v>161</v>
      </c>
      <c r="L47" s="11">
        <v>1800</v>
      </c>
      <c r="M47" t="s">
        <v>567</v>
      </c>
    </row>
    <row r="48" spans="2:13" ht="12.75">
      <c r="B48" s="10" t="s">
        <v>343</v>
      </c>
      <c r="C48" s="10" t="s">
        <v>111</v>
      </c>
      <c r="D48" s="11">
        <v>99700</v>
      </c>
      <c r="F48" s="10" t="s">
        <v>168</v>
      </c>
      <c r="G48" s="10" t="s">
        <v>132</v>
      </c>
      <c r="H48" s="11">
        <v>16400</v>
      </c>
      <c r="J48" s="10" t="s">
        <v>242</v>
      </c>
      <c r="K48" s="10" t="s">
        <v>124</v>
      </c>
      <c r="L48" s="11">
        <v>1103000</v>
      </c>
      <c r="M48" t="s">
        <v>567</v>
      </c>
    </row>
    <row r="49" spans="2:13" ht="12.75">
      <c r="B49" s="10" t="s">
        <v>493</v>
      </c>
      <c r="C49" s="10" t="s">
        <v>111</v>
      </c>
      <c r="D49" s="11">
        <v>99000</v>
      </c>
      <c r="F49" s="10" t="s">
        <v>169</v>
      </c>
      <c r="G49" s="10" t="s">
        <v>143</v>
      </c>
      <c r="H49" s="11">
        <v>18800</v>
      </c>
      <c r="J49" s="10" t="s">
        <v>347</v>
      </c>
      <c r="K49" s="10" t="s">
        <v>124</v>
      </c>
      <c r="L49" s="11">
        <v>703000</v>
      </c>
      <c r="M49" t="s">
        <v>567</v>
      </c>
    </row>
    <row r="50" spans="2:13" ht="12.75">
      <c r="B50" s="10" t="s">
        <v>324</v>
      </c>
      <c r="C50" s="10" t="s">
        <v>130</v>
      </c>
      <c r="D50" s="11">
        <v>97700</v>
      </c>
      <c r="F50" s="10" t="s">
        <v>170</v>
      </c>
      <c r="G50" s="10" t="s">
        <v>119</v>
      </c>
      <c r="H50" s="11">
        <v>17300</v>
      </c>
      <c r="J50" s="10" t="s">
        <v>241</v>
      </c>
      <c r="K50" s="10" t="s">
        <v>124</v>
      </c>
      <c r="L50" s="11">
        <v>278000</v>
      </c>
      <c r="M50" t="s">
        <v>567</v>
      </c>
    </row>
    <row r="51" spans="2:13" ht="12.75">
      <c r="B51" s="10" t="s">
        <v>108</v>
      </c>
      <c r="C51" s="10" t="s">
        <v>109</v>
      </c>
      <c r="D51" s="11">
        <v>96900</v>
      </c>
      <c r="F51" s="10" t="s">
        <v>171</v>
      </c>
      <c r="G51" s="10" t="s">
        <v>172</v>
      </c>
      <c r="H51" s="11">
        <v>11200</v>
      </c>
      <c r="J51" s="8" t="s">
        <v>389</v>
      </c>
      <c r="K51" s="8" t="s">
        <v>124</v>
      </c>
      <c r="L51" s="9">
        <v>154000</v>
      </c>
      <c r="M51" t="s">
        <v>567</v>
      </c>
    </row>
    <row r="52" spans="2:13" ht="12.75">
      <c r="B52" s="10" t="s">
        <v>550</v>
      </c>
      <c r="C52" s="10" t="s">
        <v>130</v>
      </c>
      <c r="D52" s="11">
        <v>95200</v>
      </c>
      <c r="F52" s="10" t="s">
        <v>173</v>
      </c>
      <c r="G52" s="10" t="s">
        <v>138</v>
      </c>
      <c r="H52" s="11">
        <v>12200</v>
      </c>
      <c r="J52" s="8" t="s">
        <v>416</v>
      </c>
      <c r="K52" s="8" t="s">
        <v>124</v>
      </c>
      <c r="L52" s="9">
        <v>132000</v>
      </c>
      <c r="M52" t="s">
        <v>567</v>
      </c>
    </row>
    <row r="53" spans="2:13" ht="12.75">
      <c r="B53" s="10" t="s">
        <v>284</v>
      </c>
      <c r="C53" s="10" t="s">
        <v>119</v>
      </c>
      <c r="D53" s="11">
        <v>95100</v>
      </c>
      <c r="F53" s="10" t="s">
        <v>174</v>
      </c>
      <c r="G53" s="10" t="s">
        <v>146</v>
      </c>
      <c r="H53" s="11">
        <v>40400</v>
      </c>
      <c r="J53" s="10" t="s">
        <v>401</v>
      </c>
      <c r="K53" s="10" t="s">
        <v>124</v>
      </c>
      <c r="L53" s="11">
        <v>77000</v>
      </c>
      <c r="M53" t="s">
        <v>567</v>
      </c>
    </row>
    <row r="54" spans="2:13" ht="12.75">
      <c r="B54" s="10" t="s">
        <v>105</v>
      </c>
      <c r="C54" s="10" t="s">
        <v>121</v>
      </c>
      <c r="D54" s="11">
        <v>93400</v>
      </c>
      <c r="F54" s="10" t="s">
        <v>175</v>
      </c>
      <c r="G54" s="10" t="s">
        <v>143</v>
      </c>
      <c r="H54" s="11">
        <v>52000</v>
      </c>
      <c r="J54" s="10" t="s">
        <v>366</v>
      </c>
      <c r="K54" s="10" t="s">
        <v>124</v>
      </c>
      <c r="L54" s="11">
        <v>54700</v>
      </c>
      <c r="M54" t="s">
        <v>567</v>
      </c>
    </row>
    <row r="55" spans="2:13" ht="12.75">
      <c r="B55" s="10" t="s">
        <v>127</v>
      </c>
      <c r="C55" s="10" t="s">
        <v>107</v>
      </c>
      <c r="D55" s="11">
        <v>90800</v>
      </c>
      <c r="F55" s="10" t="s">
        <v>176</v>
      </c>
      <c r="G55" s="10" t="s">
        <v>157</v>
      </c>
      <c r="H55" s="11">
        <v>12100</v>
      </c>
      <c r="J55" s="10" t="s">
        <v>262</v>
      </c>
      <c r="K55" s="10" t="s">
        <v>124</v>
      </c>
      <c r="L55" s="11">
        <v>54000</v>
      </c>
      <c r="M55" t="s">
        <v>567</v>
      </c>
    </row>
    <row r="56" spans="2:13" ht="12.75">
      <c r="B56" s="8" t="s">
        <v>560</v>
      </c>
      <c r="C56" s="8" t="s">
        <v>114</v>
      </c>
      <c r="D56" s="9">
        <v>89300</v>
      </c>
      <c r="F56" s="10" t="s">
        <v>177</v>
      </c>
      <c r="G56" s="10" t="s">
        <v>143</v>
      </c>
      <c r="H56" s="11">
        <v>37600</v>
      </c>
      <c r="J56" s="8" t="s">
        <v>411</v>
      </c>
      <c r="K56" s="8" t="s">
        <v>124</v>
      </c>
      <c r="L56" s="9">
        <v>45400</v>
      </c>
      <c r="M56" t="s">
        <v>567</v>
      </c>
    </row>
    <row r="57" spans="2:13" ht="12.75">
      <c r="B57" s="10" t="s">
        <v>516</v>
      </c>
      <c r="C57" s="10" t="s">
        <v>107</v>
      </c>
      <c r="D57" s="11">
        <v>89000</v>
      </c>
      <c r="F57" s="10" t="s">
        <v>178</v>
      </c>
      <c r="G57" s="10" t="s">
        <v>143</v>
      </c>
      <c r="H57" s="11">
        <v>84800</v>
      </c>
      <c r="J57" s="10" t="s">
        <v>290</v>
      </c>
      <c r="K57" s="10" t="s">
        <v>124</v>
      </c>
      <c r="L57" s="11">
        <v>42400</v>
      </c>
      <c r="M57" t="s">
        <v>567</v>
      </c>
    </row>
    <row r="58" spans="2:13" ht="12.75">
      <c r="B58" s="10" t="s">
        <v>383</v>
      </c>
      <c r="C58" s="10" t="s">
        <v>155</v>
      </c>
      <c r="D58" s="11">
        <v>88000</v>
      </c>
      <c r="F58" s="10" t="s">
        <v>179</v>
      </c>
      <c r="G58" s="10" t="s">
        <v>146</v>
      </c>
      <c r="H58" s="11">
        <v>24600</v>
      </c>
      <c r="J58" s="10" t="s">
        <v>471</v>
      </c>
      <c r="K58" s="10" t="s">
        <v>124</v>
      </c>
      <c r="L58" s="11">
        <v>36400</v>
      </c>
      <c r="M58" t="s">
        <v>567</v>
      </c>
    </row>
    <row r="59" spans="2:13" ht="12.75">
      <c r="B59" s="10" t="s">
        <v>523</v>
      </c>
      <c r="C59" s="10" t="s">
        <v>114</v>
      </c>
      <c r="D59" s="11">
        <v>85600</v>
      </c>
      <c r="F59" s="10" t="s">
        <v>180</v>
      </c>
      <c r="G59" s="10" t="s">
        <v>111</v>
      </c>
      <c r="H59" s="11">
        <v>56400</v>
      </c>
      <c r="J59" s="10" t="s">
        <v>422</v>
      </c>
      <c r="K59" s="10" t="s">
        <v>124</v>
      </c>
      <c r="L59" s="11">
        <v>29374</v>
      </c>
      <c r="M59" t="s">
        <v>567</v>
      </c>
    </row>
    <row r="60" spans="2:13" ht="12.75">
      <c r="B60" s="10" t="s">
        <v>178</v>
      </c>
      <c r="C60" s="10" t="s">
        <v>143</v>
      </c>
      <c r="D60" s="11">
        <v>84800</v>
      </c>
      <c r="F60" s="10" t="s">
        <v>181</v>
      </c>
      <c r="G60" s="10" t="s">
        <v>172</v>
      </c>
      <c r="H60" s="11">
        <v>16100</v>
      </c>
      <c r="J60" s="10" t="s">
        <v>417</v>
      </c>
      <c r="K60" s="10" t="s">
        <v>124</v>
      </c>
      <c r="L60" s="11">
        <v>29300</v>
      </c>
      <c r="M60" t="s">
        <v>567</v>
      </c>
    </row>
    <row r="61" spans="2:13" ht="12.75">
      <c r="B61" s="10" t="s">
        <v>417</v>
      </c>
      <c r="C61" s="10" t="s">
        <v>141</v>
      </c>
      <c r="D61" s="11">
        <v>83800</v>
      </c>
      <c r="F61" s="10" t="s">
        <v>182</v>
      </c>
      <c r="G61" s="10" t="s">
        <v>130</v>
      </c>
      <c r="H61" s="11">
        <v>11400</v>
      </c>
      <c r="J61" s="10" t="s">
        <v>208</v>
      </c>
      <c r="K61" s="10" t="s">
        <v>124</v>
      </c>
      <c r="L61" s="11">
        <v>25000</v>
      </c>
      <c r="M61" t="s">
        <v>567</v>
      </c>
    </row>
    <row r="62" spans="2:13" ht="12.75">
      <c r="B62" s="10" t="s">
        <v>463</v>
      </c>
      <c r="C62" s="10" t="s">
        <v>111</v>
      </c>
      <c r="D62" s="11">
        <v>83700</v>
      </c>
      <c r="F62" s="10" t="s">
        <v>183</v>
      </c>
      <c r="G62" s="10" t="s">
        <v>146</v>
      </c>
      <c r="H62" s="11">
        <v>8500</v>
      </c>
      <c r="J62" s="10" t="s">
        <v>441</v>
      </c>
      <c r="K62" s="10" t="s">
        <v>124</v>
      </c>
      <c r="L62" s="11">
        <v>20200</v>
      </c>
      <c r="M62" t="s">
        <v>567</v>
      </c>
    </row>
    <row r="63" spans="2:13" ht="12.75">
      <c r="B63" s="10" t="s">
        <v>385</v>
      </c>
      <c r="C63" s="10" t="s">
        <v>138</v>
      </c>
      <c r="D63" s="11">
        <v>82000</v>
      </c>
      <c r="F63" s="10" t="s">
        <v>184</v>
      </c>
      <c r="G63" s="10" t="s">
        <v>157</v>
      </c>
      <c r="H63" s="11">
        <v>14200</v>
      </c>
      <c r="J63" s="8" t="s">
        <v>429</v>
      </c>
      <c r="K63" s="8" t="s">
        <v>124</v>
      </c>
      <c r="L63" s="9">
        <v>19500</v>
      </c>
      <c r="M63" t="s">
        <v>567</v>
      </c>
    </row>
    <row r="64" spans="2:13" ht="12.75">
      <c r="B64" s="8" t="s">
        <v>480</v>
      </c>
      <c r="C64" s="8" t="s">
        <v>189</v>
      </c>
      <c r="D64" s="9">
        <v>81200</v>
      </c>
      <c r="F64" s="10" t="s">
        <v>185</v>
      </c>
      <c r="G64" s="10" t="s">
        <v>132</v>
      </c>
      <c r="H64" s="11">
        <v>10700</v>
      </c>
      <c r="J64" s="10" t="s">
        <v>194</v>
      </c>
      <c r="K64" s="10" t="s">
        <v>124</v>
      </c>
      <c r="L64" s="11">
        <v>18600</v>
      </c>
      <c r="M64" t="s">
        <v>567</v>
      </c>
    </row>
    <row r="65" spans="2:13" ht="12.75">
      <c r="B65" s="10" t="s">
        <v>250</v>
      </c>
      <c r="C65" s="10" t="s">
        <v>146</v>
      </c>
      <c r="D65" s="11">
        <v>79200</v>
      </c>
      <c r="F65" s="10" t="s">
        <v>186</v>
      </c>
      <c r="G65" s="10" t="s">
        <v>153</v>
      </c>
      <c r="H65" s="11">
        <v>16500</v>
      </c>
      <c r="J65" s="10" t="s">
        <v>123</v>
      </c>
      <c r="K65" s="10" t="s">
        <v>124</v>
      </c>
      <c r="L65" s="11">
        <v>17500</v>
      </c>
      <c r="M65" t="s">
        <v>567</v>
      </c>
    </row>
    <row r="66" spans="2:13" ht="12.75">
      <c r="B66" s="10" t="s">
        <v>401</v>
      </c>
      <c r="C66" s="10" t="s">
        <v>124</v>
      </c>
      <c r="D66" s="11">
        <v>77000</v>
      </c>
      <c r="F66" s="10" t="s">
        <v>187</v>
      </c>
      <c r="G66" s="10" t="s">
        <v>143</v>
      </c>
      <c r="H66" s="11">
        <v>39100</v>
      </c>
      <c r="J66" s="10" t="s">
        <v>195</v>
      </c>
      <c r="K66" s="10" t="s">
        <v>124</v>
      </c>
      <c r="L66" s="11">
        <v>10300</v>
      </c>
      <c r="M66" t="s">
        <v>567</v>
      </c>
    </row>
    <row r="67" spans="2:13" ht="12.75">
      <c r="B67" s="10" t="s">
        <v>252</v>
      </c>
      <c r="C67" s="10" t="s">
        <v>107</v>
      </c>
      <c r="D67" s="11">
        <v>74400</v>
      </c>
      <c r="F67" s="10" t="s">
        <v>188</v>
      </c>
      <c r="G67" s="10" t="s">
        <v>189</v>
      </c>
      <c r="H67" s="11">
        <v>19300</v>
      </c>
      <c r="J67" s="10" t="s">
        <v>510</v>
      </c>
      <c r="K67" s="10" t="s">
        <v>124</v>
      </c>
      <c r="L67" s="11">
        <v>32900</v>
      </c>
      <c r="M67" t="s">
        <v>568</v>
      </c>
    </row>
    <row r="68" spans="2:13" ht="12.75">
      <c r="B68" s="8" t="s">
        <v>456</v>
      </c>
      <c r="C68" s="8" t="s">
        <v>111</v>
      </c>
      <c r="D68" s="9">
        <v>74100</v>
      </c>
      <c r="F68" s="10" t="s">
        <v>190</v>
      </c>
      <c r="G68" s="10" t="s">
        <v>111</v>
      </c>
      <c r="H68" s="11">
        <v>15400</v>
      </c>
      <c r="J68" s="10" t="s">
        <v>273</v>
      </c>
      <c r="K68" s="10" t="s">
        <v>124</v>
      </c>
      <c r="L68" s="11">
        <v>16000</v>
      </c>
      <c r="M68" t="s">
        <v>568</v>
      </c>
    </row>
    <row r="69" spans="2:13" ht="12.75">
      <c r="B69" s="10" t="s">
        <v>537</v>
      </c>
      <c r="C69" s="10" t="s">
        <v>146</v>
      </c>
      <c r="D69" s="11">
        <v>74000</v>
      </c>
      <c r="F69" s="10" t="s">
        <v>191</v>
      </c>
      <c r="G69" s="10" t="s">
        <v>192</v>
      </c>
      <c r="H69" s="11">
        <v>5800</v>
      </c>
      <c r="J69" s="10" t="s">
        <v>249</v>
      </c>
      <c r="K69" s="10" t="s">
        <v>107</v>
      </c>
      <c r="L69" s="11">
        <v>1050000</v>
      </c>
      <c r="M69" t="s">
        <v>567</v>
      </c>
    </row>
    <row r="70" spans="2:13" ht="12.75">
      <c r="B70" s="10" t="s">
        <v>337</v>
      </c>
      <c r="C70" s="10" t="s">
        <v>107</v>
      </c>
      <c r="D70" s="11">
        <v>73300</v>
      </c>
      <c r="F70" s="10" t="s">
        <v>193</v>
      </c>
      <c r="G70" s="10" t="s">
        <v>146</v>
      </c>
      <c r="H70" s="11">
        <v>6100</v>
      </c>
      <c r="J70" s="10" t="s">
        <v>367</v>
      </c>
      <c r="K70" s="10" t="s">
        <v>107</v>
      </c>
      <c r="L70" s="11">
        <v>490000</v>
      </c>
      <c r="M70" t="s">
        <v>567</v>
      </c>
    </row>
    <row r="71" spans="2:13" ht="12.75">
      <c r="B71" s="10" t="s">
        <v>548</v>
      </c>
      <c r="C71" s="10" t="s">
        <v>107</v>
      </c>
      <c r="D71" s="11">
        <v>73100</v>
      </c>
      <c r="F71" s="10" t="s">
        <v>194</v>
      </c>
      <c r="G71" s="10" t="s">
        <v>124</v>
      </c>
      <c r="H71" s="11">
        <v>18600</v>
      </c>
      <c r="J71" s="10" t="s">
        <v>363</v>
      </c>
      <c r="K71" s="10" t="s">
        <v>107</v>
      </c>
      <c r="L71" s="11">
        <v>384000</v>
      </c>
      <c r="M71" t="s">
        <v>567</v>
      </c>
    </row>
    <row r="72" spans="2:13" ht="12.75">
      <c r="B72" s="10" t="s">
        <v>437</v>
      </c>
      <c r="C72" s="10" t="s">
        <v>138</v>
      </c>
      <c r="D72" s="11">
        <v>73000</v>
      </c>
      <c r="F72" s="10" t="s">
        <v>195</v>
      </c>
      <c r="G72" s="10" t="s">
        <v>124</v>
      </c>
      <c r="H72" s="11">
        <v>10300</v>
      </c>
      <c r="J72" s="10" t="s">
        <v>225</v>
      </c>
      <c r="K72" s="10" t="s">
        <v>107</v>
      </c>
      <c r="L72" s="11">
        <v>316000</v>
      </c>
      <c r="M72" t="s">
        <v>567</v>
      </c>
    </row>
    <row r="73" spans="2:13" ht="12.75">
      <c r="B73" s="10" t="s">
        <v>122</v>
      </c>
      <c r="C73" s="10" t="s">
        <v>111</v>
      </c>
      <c r="D73" s="11">
        <v>72800</v>
      </c>
      <c r="F73" s="10" t="s">
        <v>196</v>
      </c>
      <c r="G73" s="10" t="s">
        <v>192</v>
      </c>
      <c r="H73" s="11">
        <v>5500</v>
      </c>
      <c r="J73" s="10" t="s">
        <v>335</v>
      </c>
      <c r="K73" s="10" t="s">
        <v>107</v>
      </c>
      <c r="L73" s="11">
        <v>194000</v>
      </c>
      <c r="M73" t="s">
        <v>567</v>
      </c>
    </row>
    <row r="74" spans="2:13" ht="12.75">
      <c r="B74" s="10" t="s">
        <v>299</v>
      </c>
      <c r="C74" s="10" t="s">
        <v>172</v>
      </c>
      <c r="D74" s="11">
        <v>72600</v>
      </c>
      <c r="F74" s="10" t="s">
        <v>197</v>
      </c>
      <c r="G74" s="10" t="s">
        <v>119</v>
      </c>
      <c r="H74" s="11">
        <v>10600</v>
      </c>
      <c r="J74" s="10" t="s">
        <v>479</v>
      </c>
      <c r="K74" s="10" t="s">
        <v>107</v>
      </c>
      <c r="L74" s="11">
        <v>131000</v>
      </c>
      <c r="M74" t="s">
        <v>567</v>
      </c>
    </row>
    <row r="75" spans="2:13" ht="12.75">
      <c r="B75" s="10" t="s">
        <v>316</v>
      </c>
      <c r="C75" s="10" t="s">
        <v>161</v>
      </c>
      <c r="D75" s="11">
        <v>69700</v>
      </c>
      <c r="F75" s="10" t="s">
        <v>198</v>
      </c>
      <c r="G75" s="10" t="s">
        <v>146</v>
      </c>
      <c r="H75" s="11">
        <v>12800</v>
      </c>
      <c r="J75" s="10" t="s">
        <v>259</v>
      </c>
      <c r="K75" s="10" t="s">
        <v>107</v>
      </c>
      <c r="L75" s="11">
        <v>111400</v>
      </c>
      <c r="M75" t="s">
        <v>567</v>
      </c>
    </row>
    <row r="76" spans="2:13" ht="12.75">
      <c r="B76" s="8" t="s">
        <v>524</v>
      </c>
      <c r="C76" s="8" t="s">
        <v>107</v>
      </c>
      <c r="D76" s="9">
        <v>69000</v>
      </c>
      <c r="F76" s="10" t="s">
        <v>199</v>
      </c>
      <c r="G76" s="10" t="s">
        <v>135</v>
      </c>
      <c r="H76" s="11">
        <v>391000</v>
      </c>
      <c r="J76" s="10" t="s">
        <v>325</v>
      </c>
      <c r="K76" s="10" t="s">
        <v>107</v>
      </c>
      <c r="L76" s="11">
        <v>100000</v>
      </c>
      <c r="M76" t="s">
        <v>567</v>
      </c>
    </row>
    <row r="77" spans="2:13" ht="12.75">
      <c r="B77" s="10" t="s">
        <v>481</v>
      </c>
      <c r="C77" s="10" t="s">
        <v>107</v>
      </c>
      <c r="D77" s="11">
        <v>68900</v>
      </c>
      <c r="F77" s="10" t="s">
        <v>200</v>
      </c>
      <c r="G77" s="10" t="s">
        <v>155</v>
      </c>
      <c r="H77" s="11">
        <v>27600</v>
      </c>
      <c r="J77" s="10" t="s">
        <v>127</v>
      </c>
      <c r="K77" s="10" t="s">
        <v>107</v>
      </c>
      <c r="L77" s="11">
        <v>90800</v>
      </c>
      <c r="M77" t="s">
        <v>567</v>
      </c>
    </row>
    <row r="78" spans="2:13" ht="12.75">
      <c r="B78" s="8" t="s">
        <v>496</v>
      </c>
      <c r="C78" s="8" t="s">
        <v>146</v>
      </c>
      <c r="D78" s="9">
        <v>68200</v>
      </c>
      <c r="F78" s="10" t="s">
        <v>201</v>
      </c>
      <c r="G78" s="10" t="s">
        <v>143</v>
      </c>
      <c r="H78" s="11">
        <v>32000</v>
      </c>
      <c r="J78" s="10" t="s">
        <v>516</v>
      </c>
      <c r="K78" s="10" t="s">
        <v>107</v>
      </c>
      <c r="L78" s="11">
        <v>89000</v>
      </c>
      <c r="M78" t="s">
        <v>567</v>
      </c>
    </row>
    <row r="79" spans="2:13" ht="12.75">
      <c r="B79" s="10" t="s">
        <v>328</v>
      </c>
      <c r="C79" s="10" t="s">
        <v>121</v>
      </c>
      <c r="D79" s="11">
        <v>67500</v>
      </c>
      <c r="F79" s="10" t="s">
        <v>202</v>
      </c>
      <c r="G79" s="10" t="s">
        <v>161</v>
      </c>
      <c r="H79" s="11">
        <v>39800</v>
      </c>
      <c r="J79" s="10" t="s">
        <v>252</v>
      </c>
      <c r="K79" s="10" t="s">
        <v>107</v>
      </c>
      <c r="L79" s="11">
        <v>74400</v>
      </c>
      <c r="M79" t="s">
        <v>567</v>
      </c>
    </row>
    <row r="80" spans="2:13" ht="12.75">
      <c r="B80" s="10" t="s">
        <v>320</v>
      </c>
      <c r="C80" s="10" t="s">
        <v>172</v>
      </c>
      <c r="D80" s="11">
        <v>66500</v>
      </c>
      <c r="F80" s="10" t="s">
        <v>203</v>
      </c>
      <c r="G80" s="10" t="s">
        <v>141</v>
      </c>
      <c r="H80" s="11">
        <v>42800</v>
      </c>
      <c r="J80" s="10" t="s">
        <v>337</v>
      </c>
      <c r="K80" s="10" t="s">
        <v>107</v>
      </c>
      <c r="L80" s="11">
        <v>73300</v>
      </c>
      <c r="M80" t="s">
        <v>567</v>
      </c>
    </row>
    <row r="81" spans="2:13" ht="12.75">
      <c r="B81" s="10" t="s">
        <v>240</v>
      </c>
      <c r="C81" s="10" t="s">
        <v>107</v>
      </c>
      <c r="D81" s="11">
        <v>65500</v>
      </c>
      <c r="F81" s="10" t="s">
        <v>204</v>
      </c>
      <c r="G81" s="10" t="s">
        <v>107</v>
      </c>
      <c r="H81" s="11">
        <v>26000</v>
      </c>
      <c r="J81" s="10" t="s">
        <v>548</v>
      </c>
      <c r="K81" s="10" t="s">
        <v>107</v>
      </c>
      <c r="L81" s="11">
        <v>73100</v>
      </c>
      <c r="M81" t="s">
        <v>567</v>
      </c>
    </row>
    <row r="82" spans="2:13" ht="12.75">
      <c r="B82" s="10" t="s">
        <v>355</v>
      </c>
      <c r="C82" s="10" t="s">
        <v>132</v>
      </c>
      <c r="D82" s="11">
        <v>60900</v>
      </c>
      <c r="F82" s="10" t="s">
        <v>205</v>
      </c>
      <c r="G82" s="10" t="s">
        <v>206</v>
      </c>
      <c r="H82" s="11">
        <v>24400</v>
      </c>
      <c r="J82" s="8" t="s">
        <v>524</v>
      </c>
      <c r="K82" s="8" t="s">
        <v>107</v>
      </c>
      <c r="L82" s="9">
        <v>69000</v>
      </c>
      <c r="M82" t="s">
        <v>567</v>
      </c>
    </row>
    <row r="83" spans="2:13" ht="12.75">
      <c r="B83" s="10" t="s">
        <v>357</v>
      </c>
      <c r="C83" s="10" t="s">
        <v>214</v>
      </c>
      <c r="D83" s="11">
        <v>60300</v>
      </c>
      <c r="F83" s="10" t="s">
        <v>207</v>
      </c>
      <c r="G83" s="10" t="s">
        <v>132</v>
      </c>
      <c r="H83" s="11">
        <v>19600</v>
      </c>
      <c r="J83" s="10" t="s">
        <v>481</v>
      </c>
      <c r="K83" s="10" t="s">
        <v>107</v>
      </c>
      <c r="L83" s="11">
        <v>68900</v>
      </c>
      <c r="M83" t="s">
        <v>567</v>
      </c>
    </row>
    <row r="84" spans="2:13" ht="12.75">
      <c r="B84" s="10" t="s">
        <v>391</v>
      </c>
      <c r="C84" s="10" t="s">
        <v>163</v>
      </c>
      <c r="D84" s="11">
        <v>59000</v>
      </c>
      <c r="F84" s="10" t="s">
        <v>208</v>
      </c>
      <c r="G84" s="10" t="s">
        <v>124</v>
      </c>
      <c r="H84" s="11">
        <v>25000</v>
      </c>
      <c r="J84" s="10" t="s">
        <v>240</v>
      </c>
      <c r="K84" s="10" t="s">
        <v>107</v>
      </c>
      <c r="L84" s="11">
        <v>65500</v>
      </c>
      <c r="M84" t="s">
        <v>567</v>
      </c>
    </row>
    <row r="85" spans="2:13" ht="12.75">
      <c r="B85" s="8" t="s">
        <v>450</v>
      </c>
      <c r="C85" s="8" t="s">
        <v>111</v>
      </c>
      <c r="D85" s="9">
        <v>58500</v>
      </c>
      <c r="F85" s="10" t="s">
        <v>209</v>
      </c>
      <c r="G85" s="10" t="s">
        <v>153</v>
      </c>
      <c r="H85" s="11">
        <v>16900</v>
      </c>
      <c r="J85" s="10" t="s">
        <v>239</v>
      </c>
      <c r="K85" s="10" t="s">
        <v>107</v>
      </c>
      <c r="L85" s="11">
        <v>42200</v>
      </c>
      <c r="M85" t="s">
        <v>567</v>
      </c>
    </row>
    <row r="86" spans="2:13" ht="12.75">
      <c r="B86" s="8" t="s">
        <v>464</v>
      </c>
      <c r="C86" s="8" t="s">
        <v>109</v>
      </c>
      <c r="D86" s="9">
        <v>57900</v>
      </c>
      <c r="F86" s="10" t="s">
        <v>210</v>
      </c>
      <c r="G86" s="10" t="s">
        <v>130</v>
      </c>
      <c r="H86" s="11">
        <v>8900</v>
      </c>
      <c r="J86" s="10" t="s">
        <v>563</v>
      </c>
      <c r="K86" s="10" t="s">
        <v>107</v>
      </c>
      <c r="L86" s="11">
        <v>38100</v>
      </c>
      <c r="M86" t="s">
        <v>567</v>
      </c>
    </row>
    <row r="87" spans="2:13" ht="12.75">
      <c r="B87" s="10" t="s">
        <v>455</v>
      </c>
      <c r="C87" s="10" t="s">
        <v>130</v>
      </c>
      <c r="D87" s="11">
        <v>57300</v>
      </c>
      <c r="F87" s="10" t="s">
        <v>211</v>
      </c>
      <c r="G87" s="10" t="s">
        <v>132</v>
      </c>
      <c r="H87" s="11">
        <v>11000</v>
      </c>
      <c r="J87" s="10" t="s">
        <v>106</v>
      </c>
      <c r="K87" s="10" t="s">
        <v>107</v>
      </c>
      <c r="L87" s="11">
        <v>37900</v>
      </c>
      <c r="M87" t="s">
        <v>567</v>
      </c>
    </row>
    <row r="88" spans="2:13" ht="12.75">
      <c r="B88" s="10" t="s">
        <v>144</v>
      </c>
      <c r="C88" s="10" t="s">
        <v>119</v>
      </c>
      <c r="D88" s="11">
        <v>56800</v>
      </c>
      <c r="F88" s="10" t="s">
        <v>212</v>
      </c>
      <c r="G88" s="10" t="s">
        <v>143</v>
      </c>
      <c r="H88" s="11">
        <v>22100</v>
      </c>
      <c r="J88" s="10" t="s">
        <v>245</v>
      </c>
      <c r="K88" s="10" t="s">
        <v>107</v>
      </c>
      <c r="L88" s="11">
        <v>36100</v>
      </c>
      <c r="M88" t="s">
        <v>567</v>
      </c>
    </row>
    <row r="89" spans="2:13" ht="12.75">
      <c r="B89" s="10" t="s">
        <v>180</v>
      </c>
      <c r="C89" s="10" t="s">
        <v>111</v>
      </c>
      <c r="D89" s="11">
        <v>56400</v>
      </c>
      <c r="F89" s="10" t="s">
        <v>213</v>
      </c>
      <c r="G89" s="10" t="s">
        <v>214</v>
      </c>
      <c r="H89" s="11">
        <v>27100</v>
      </c>
      <c r="J89" s="10" t="s">
        <v>313</v>
      </c>
      <c r="K89" s="10" t="s">
        <v>107</v>
      </c>
      <c r="L89" s="11">
        <v>31600</v>
      </c>
      <c r="M89" t="s">
        <v>567</v>
      </c>
    </row>
    <row r="90" spans="2:13" ht="12.75">
      <c r="B90" s="8" t="s">
        <v>395</v>
      </c>
      <c r="C90" s="8" t="s">
        <v>161</v>
      </c>
      <c r="D90" s="9">
        <v>56400</v>
      </c>
      <c r="F90" s="10" t="s">
        <v>215</v>
      </c>
      <c r="G90" s="10" t="s">
        <v>109</v>
      </c>
      <c r="H90" s="11">
        <v>15900</v>
      </c>
      <c r="J90" s="10" t="s">
        <v>235</v>
      </c>
      <c r="K90" s="10" t="s">
        <v>107</v>
      </c>
      <c r="L90" s="11">
        <v>31300</v>
      </c>
      <c r="M90" t="s">
        <v>567</v>
      </c>
    </row>
    <row r="91" spans="2:13" ht="12.75">
      <c r="B91" s="8" t="s">
        <v>396</v>
      </c>
      <c r="C91" s="8" t="s">
        <v>121</v>
      </c>
      <c r="D91" s="9">
        <v>56100</v>
      </c>
      <c r="F91" s="10" t="s">
        <v>216</v>
      </c>
      <c r="G91" s="10" t="s">
        <v>135</v>
      </c>
      <c r="H91" s="11">
        <v>26700</v>
      </c>
      <c r="J91" s="10" t="s">
        <v>468</v>
      </c>
      <c r="K91" s="10" t="s">
        <v>107</v>
      </c>
      <c r="L91" s="11">
        <v>28600</v>
      </c>
      <c r="M91" t="s">
        <v>567</v>
      </c>
    </row>
    <row r="92" spans="2:13" ht="12.75">
      <c r="B92" s="10" t="s">
        <v>289</v>
      </c>
      <c r="C92" s="10" t="s">
        <v>119</v>
      </c>
      <c r="D92" s="11">
        <v>54800</v>
      </c>
      <c r="F92" s="10" t="s">
        <v>217</v>
      </c>
      <c r="G92" s="10" t="s">
        <v>172</v>
      </c>
      <c r="H92" s="11">
        <v>6900</v>
      </c>
      <c r="J92" s="10" t="s">
        <v>342</v>
      </c>
      <c r="K92" s="10" t="s">
        <v>107</v>
      </c>
      <c r="L92" s="11">
        <v>28300</v>
      </c>
      <c r="M92" t="s">
        <v>567</v>
      </c>
    </row>
    <row r="93" spans="2:13" ht="12.75">
      <c r="B93" s="10" t="s">
        <v>366</v>
      </c>
      <c r="C93" s="10" t="s">
        <v>124</v>
      </c>
      <c r="D93" s="11">
        <v>54700</v>
      </c>
      <c r="F93" s="10" t="s">
        <v>218</v>
      </c>
      <c r="G93" s="10" t="s">
        <v>163</v>
      </c>
      <c r="H93" s="11">
        <v>22500</v>
      </c>
      <c r="J93" s="10" t="s">
        <v>204</v>
      </c>
      <c r="K93" s="10" t="s">
        <v>107</v>
      </c>
      <c r="L93" s="11">
        <v>26000</v>
      </c>
      <c r="M93" t="s">
        <v>567</v>
      </c>
    </row>
    <row r="94" spans="2:13" ht="12.75">
      <c r="B94" s="8" t="s">
        <v>522</v>
      </c>
      <c r="C94" s="8" t="s">
        <v>143</v>
      </c>
      <c r="D94" s="9">
        <v>54400</v>
      </c>
      <c r="F94" s="10" t="s">
        <v>219</v>
      </c>
      <c r="G94" s="10" t="s">
        <v>192</v>
      </c>
      <c r="H94" s="11">
        <v>2500</v>
      </c>
      <c r="J94" s="10" t="s">
        <v>246</v>
      </c>
      <c r="K94" s="10" t="s">
        <v>107</v>
      </c>
      <c r="L94" s="11">
        <v>24600</v>
      </c>
      <c r="M94" t="s">
        <v>567</v>
      </c>
    </row>
    <row r="95" spans="2:13" ht="12.75">
      <c r="B95" s="10" t="s">
        <v>285</v>
      </c>
      <c r="C95" s="10" t="s">
        <v>132</v>
      </c>
      <c r="D95" s="11">
        <v>54300</v>
      </c>
      <c r="F95" s="10" t="s">
        <v>220</v>
      </c>
      <c r="G95" s="10" t="s">
        <v>146</v>
      </c>
      <c r="H95" s="11">
        <v>3500</v>
      </c>
      <c r="J95" s="10" t="s">
        <v>287</v>
      </c>
      <c r="K95" s="10" t="s">
        <v>107</v>
      </c>
      <c r="L95" s="11">
        <v>20000</v>
      </c>
      <c r="M95" t="s">
        <v>567</v>
      </c>
    </row>
    <row r="96" spans="2:13" ht="12.75">
      <c r="B96" s="10" t="s">
        <v>262</v>
      </c>
      <c r="C96" s="10" t="s">
        <v>124</v>
      </c>
      <c r="D96" s="11">
        <v>54000</v>
      </c>
      <c r="F96" s="10" t="s">
        <v>221</v>
      </c>
      <c r="G96" s="10" t="s">
        <v>214</v>
      </c>
      <c r="H96" s="11">
        <v>13100</v>
      </c>
      <c r="J96" s="8" t="s">
        <v>557</v>
      </c>
      <c r="K96" s="8" t="s">
        <v>107</v>
      </c>
      <c r="L96" s="9">
        <v>18700</v>
      </c>
      <c r="M96" t="s">
        <v>567</v>
      </c>
    </row>
    <row r="97" spans="2:13" ht="12.75">
      <c r="B97" s="10" t="s">
        <v>322</v>
      </c>
      <c r="C97" s="10" t="s">
        <v>214</v>
      </c>
      <c r="D97" s="11">
        <v>53000</v>
      </c>
      <c r="F97" s="10" t="s">
        <v>222</v>
      </c>
      <c r="G97" s="10" t="s">
        <v>130</v>
      </c>
      <c r="H97" s="11">
        <v>35300</v>
      </c>
      <c r="J97" s="8" t="s">
        <v>536</v>
      </c>
      <c r="K97" s="8" t="s">
        <v>107</v>
      </c>
      <c r="L97" s="9">
        <v>17600</v>
      </c>
      <c r="M97" t="s">
        <v>567</v>
      </c>
    </row>
    <row r="98" spans="2:13" ht="12.75">
      <c r="B98" s="10" t="s">
        <v>129</v>
      </c>
      <c r="C98" s="10" t="s">
        <v>130</v>
      </c>
      <c r="D98" s="11">
        <v>52000</v>
      </c>
      <c r="F98" s="10" t="s">
        <v>223</v>
      </c>
      <c r="G98" s="10" t="s">
        <v>135</v>
      </c>
      <c r="H98" s="11">
        <v>14400</v>
      </c>
      <c r="J98" s="10" t="s">
        <v>226</v>
      </c>
      <c r="K98" s="10" t="s">
        <v>107</v>
      </c>
      <c r="L98" s="11">
        <v>14700</v>
      </c>
      <c r="M98" t="s">
        <v>567</v>
      </c>
    </row>
    <row r="99" spans="2:13" ht="12.75">
      <c r="B99" s="10" t="s">
        <v>175</v>
      </c>
      <c r="C99" s="10" t="s">
        <v>143</v>
      </c>
      <c r="D99" s="11">
        <v>52000</v>
      </c>
      <c r="F99" s="10" t="s">
        <v>224</v>
      </c>
      <c r="G99" s="10" t="s">
        <v>163</v>
      </c>
      <c r="H99" s="11">
        <v>15300</v>
      </c>
      <c r="J99" s="8" t="s">
        <v>486</v>
      </c>
      <c r="K99" s="8" t="s">
        <v>107</v>
      </c>
      <c r="L99" s="9">
        <v>13500</v>
      </c>
      <c r="M99" t="s">
        <v>567</v>
      </c>
    </row>
    <row r="100" spans="2:13" ht="12.75">
      <c r="B100" s="8" t="s">
        <v>549</v>
      </c>
      <c r="C100" s="8" t="s">
        <v>206</v>
      </c>
      <c r="D100" s="9">
        <v>51900</v>
      </c>
      <c r="F100" s="10" t="s">
        <v>225</v>
      </c>
      <c r="G100" s="10" t="s">
        <v>107</v>
      </c>
      <c r="H100" s="11">
        <v>316000</v>
      </c>
      <c r="J100" s="10" t="s">
        <v>323</v>
      </c>
      <c r="K100" s="10" t="s">
        <v>107</v>
      </c>
      <c r="L100" s="11">
        <v>13000</v>
      </c>
      <c r="M100" t="s">
        <v>567</v>
      </c>
    </row>
    <row r="101" spans="2:13" ht="12.75">
      <c r="B101" s="8" t="s">
        <v>554</v>
      </c>
      <c r="C101" s="8" t="s">
        <v>153</v>
      </c>
      <c r="D101" s="9">
        <v>51500</v>
      </c>
      <c r="F101" s="10" t="s">
        <v>226</v>
      </c>
      <c r="G101" s="10" t="s">
        <v>107</v>
      </c>
      <c r="H101" s="11">
        <v>14700</v>
      </c>
      <c r="J101" s="10" t="s">
        <v>117</v>
      </c>
      <c r="K101" s="10" t="s">
        <v>107</v>
      </c>
      <c r="L101" s="11">
        <v>22700</v>
      </c>
      <c r="M101" t="s">
        <v>568</v>
      </c>
    </row>
    <row r="102" spans="2:13" ht="12.75">
      <c r="B102" s="10" t="s">
        <v>340</v>
      </c>
      <c r="C102" s="10" t="s">
        <v>111</v>
      </c>
      <c r="D102" s="11">
        <v>49100</v>
      </c>
      <c r="F102" s="10" t="s">
        <v>227</v>
      </c>
      <c r="G102" s="10" t="s">
        <v>172</v>
      </c>
      <c r="H102" s="11">
        <v>10200</v>
      </c>
      <c r="J102" s="10" t="s">
        <v>351</v>
      </c>
      <c r="K102" s="10" t="s">
        <v>107</v>
      </c>
      <c r="L102" s="11">
        <v>22100</v>
      </c>
      <c r="M102" t="s">
        <v>568</v>
      </c>
    </row>
    <row r="103" spans="2:13" ht="12.75">
      <c r="B103" s="8" t="s">
        <v>417</v>
      </c>
      <c r="C103" s="8" t="s">
        <v>111</v>
      </c>
      <c r="D103" s="9">
        <v>46900</v>
      </c>
      <c r="F103" s="10" t="s">
        <v>228</v>
      </c>
      <c r="G103" s="10" t="s">
        <v>189</v>
      </c>
      <c r="H103" s="11">
        <v>16600</v>
      </c>
      <c r="J103" s="10" t="s">
        <v>282</v>
      </c>
      <c r="K103" s="10" t="s">
        <v>107</v>
      </c>
      <c r="L103" s="11">
        <v>21500</v>
      </c>
      <c r="M103" t="s">
        <v>568</v>
      </c>
    </row>
    <row r="104" spans="2:13" ht="12.75">
      <c r="B104" s="10" t="s">
        <v>238</v>
      </c>
      <c r="C104" s="10" t="s">
        <v>114</v>
      </c>
      <c r="D104" s="11">
        <v>46800</v>
      </c>
      <c r="F104" s="10" t="s">
        <v>229</v>
      </c>
      <c r="G104" s="10" t="s">
        <v>138</v>
      </c>
      <c r="H104" s="11">
        <v>14200</v>
      </c>
      <c r="J104" s="10" t="s">
        <v>149</v>
      </c>
      <c r="K104" s="10" t="s">
        <v>107</v>
      </c>
      <c r="L104" s="11">
        <v>19200</v>
      </c>
      <c r="M104" t="s">
        <v>568</v>
      </c>
    </row>
    <row r="105" spans="2:13" ht="12.75">
      <c r="B105" s="10" t="s">
        <v>372</v>
      </c>
      <c r="C105" s="10" t="s">
        <v>214</v>
      </c>
      <c r="D105" s="11">
        <v>46600</v>
      </c>
      <c r="F105" s="10" t="s">
        <v>230</v>
      </c>
      <c r="G105" s="10" t="s">
        <v>206</v>
      </c>
      <c r="H105" s="11">
        <v>18800</v>
      </c>
      <c r="J105" s="10" t="s">
        <v>397</v>
      </c>
      <c r="K105" s="10" t="s">
        <v>107</v>
      </c>
      <c r="L105" s="11">
        <v>18500</v>
      </c>
      <c r="M105" t="s">
        <v>568</v>
      </c>
    </row>
    <row r="106" spans="2:13" ht="12.75">
      <c r="B106" s="8" t="s">
        <v>411</v>
      </c>
      <c r="C106" s="8" t="s">
        <v>124</v>
      </c>
      <c r="D106" s="9">
        <v>45400</v>
      </c>
      <c r="F106" s="10" t="s">
        <v>230</v>
      </c>
      <c r="G106" s="10" t="s">
        <v>146</v>
      </c>
      <c r="H106" s="11">
        <v>17900</v>
      </c>
      <c r="J106" s="10" t="s">
        <v>338</v>
      </c>
      <c r="K106" s="10" t="s">
        <v>107</v>
      </c>
      <c r="L106" s="11">
        <v>16900</v>
      </c>
      <c r="M106" t="s">
        <v>568</v>
      </c>
    </row>
    <row r="107" spans="2:13" ht="12.75">
      <c r="B107" s="10" t="s">
        <v>203</v>
      </c>
      <c r="C107" s="10" t="s">
        <v>141</v>
      </c>
      <c r="D107" s="11">
        <v>42800</v>
      </c>
      <c r="F107" s="10" t="s">
        <v>231</v>
      </c>
      <c r="G107" s="10" t="s">
        <v>161</v>
      </c>
      <c r="H107" s="11">
        <v>10100</v>
      </c>
      <c r="J107" s="10" t="s">
        <v>261</v>
      </c>
      <c r="K107" s="10" t="s">
        <v>107</v>
      </c>
      <c r="L107" s="11">
        <v>13700</v>
      </c>
      <c r="M107" t="s">
        <v>568</v>
      </c>
    </row>
    <row r="108" spans="2:13" ht="12.75">
      <c r="B108" s="10" t="s">
        <v>290</v>
      </c>
      <c r="C108" s="10" t="s">
        <v>124</v>
      </c>
      <c r="D108" s="11">
        <v>42400</v>
      </c>
      <c r="F108" s="10" t="s">
        <v>232</v>
      </c>
      <c r="G108" s="10" t="s">
        <v>111</v>
      </c>
      <c r="H108" s="11">
        <v>12100</v>
      </c>
      <c r="J108" s="10" t="s">
        <v>453</v>
      </c>
      <c r="K108" s="10" t="s">
        <v>107</v>
      </c>
      <c r="L108" s="11">
        <v>13600</v>
      </c>
      <c r="M108" t="s">
        <v>568</v>
      </c>
    </row>
    <row r="109" spans="2:13" ht="12.75">
      <c r="B109" s="8" t="s">
        <v>515</v>
      </c>
      <c r="C109" s="8" t="s">
        <v>153</v>
      </c>
      <c r="D109" s="9">
        <v>42300</v>
      </c>
      <c r="F109" s="10" t="s">
        <v>233</v>
      </c>
      <c r="G109" s="10" t="s">
        <v>214</v>
      </c>
      <c r="H109" s="11">
        <v>12900</v>
      </c>
      <c r="J109" s="8" t="s">
        <v>467</v>
      </c>
      <c r="K109" s="8" t="s">
        <v>107</v>
      </c>
      <c r="L109" s="9">
        <v>13500</v>
      </c>
      <c r="M109" t="s">
        <v>568</v>
      </c>
    </row>
    <row r="110" spans="2:13" ht="12.75">
      <c r="B110" s="10" t="s">
        <v>239</v>
      </c>
      <c r="C110" s="10" t="s">
        <v>107</v>
      </c>
      <c r="D110" s="11">
        <v>42200</v>
      </c>
      <c r="F110" s="10" t="s">
        <v>234</v>
      </c>
      <c r="G110" s="10" t="s">
        <v>153</v>
      </c>
      <c r="H110" s="11">
        <v>18600</v>
      </c>
      <c r="J110" s="10" t="s">
        <v>394</v>
      </c>
      <c r="K110" s="10" t="s">
        <v>107</v>
      </c>
      <c r="L110" s="11">
        <v>13400</v>
      </c>
      <c r="M110" t="s">
        <v>568</v>
      </c>
    </row>
    <row r="111" spans="2:13" ht="12.75">
      <c r="B111" s="10" t="s">
        <v>307</v>
      </c>
      <c r="C111" s="10" t="s">
        <v>163</v>
      </c>
      <c r="D111" s="11">
        <v>41900</v>
      </c>
      <c r="F111" s="10" t="s">
        <v>235</v>
      </c>
      <c r="G111" s="10" t="s">
        <v>107</v>
      </c>
      <c r="H111" s="11">
        <v>31300</v>
      </c>
      <c r="J111" s="10" t="s">
        <v>465</v>
      </c>
      <c r="K111" s="10" t="s">
        <v>107</v>
      </c>
      <c r="L111" s="11">
        <v>13300</v>
      </c>
      <c r="M111" t="s">
        <v>568</v>
      </c>
    </row>
    <row r="112" spans="2:13" ht="12.75">
      <c r="B112" s="8" t="s">
        <v>555</v>
      </c>
      <c r="C112" s="8" t="s">
        <v>141</v>
      </c>
      <c r="D112" s="9">
        <v>41900</v>
      </c>
      <c r="F112" s="10" t="s">
        <v>236</v>
      </c>
      <c r="G112" s="10" t="s">
        <v>206</v>
      </c>
      <c r="H112" s="11">
        <v>11900</v>
      </c>
      <c r="J112" s="8" t="s">
        <v>381</v>
      </c>
      <c r="K112" s="8" t="s">
        <v>107</v>
      </c>
      <c r="L112" s="9">
        <v>11900</v>
      </c>
      <c r="M112" t="s">
        <v>568</v>
      </c>
    </row>
    <row r="113" spans="2:13" ht="12.75">
      <c r="B113" s="10" t="s">
        <v>334</v>
      </c>
      <c r="C113" s="10" t="s">
        <v>119</v>
      </c>
      <c r="D113" s="11">
        <v>41400</v>
      </c>
      <c r="F113" s="10" t="s">
        <v>237</v>
      </c>
      <c r="G113" s="10" t="s">
        <v>132</v>
      </c>
      <c r="H113" s="11">
        <v>19000</v>
      </c>
      <c r="J113" s="10" t="s">
        <v>368</v>
      </c>
      <c r="K113" s="10" t="s">
        <v>107</v>
      </c>
      <c r="L113" s="11">
        <v>10800</v>
      </c>
      <c r="M113" t="s">
        <v>568</v>
      </c>
    </row>
    <row r="114" spans="2:13" ht="12.75">
      <c r="B114" s="10" t="s">
        <v>264</v>
      </c>
      <c r="C114" s="10" t="s">
        <v>135</v>
      </c>
      <c r="D114" s="11">
        <v>41200</v>
      </c>
      <c r="F114" s="10" t="s">
        <v>238</v>
      </c>
      <c r="G114" s="10" t="s">
        <v>114</v>
      </c>
      <c r="H114" s="11">
        <v>46800</v>
      </c>
      <c r="J114" s="10" t="s">
        <v>147</v>
      </c>
      <c r="K114" s="10" t="s">
        <v>107</v>
      </c>
      <c r="L114" s="11">
        <v>10500</v>
      </c>
      <c r="M114" t="s">
        <v>568</v>
      </c>
    </row>
    <row r="115" spans="2:13" ht="12.75">
      <c r="B115" s="10" t="s">
        <v>254</v>
      </c>
      <c r="C115" s="10" t="s">
        <v>255</v>
      </c>
      <c r="D115" s="11">
        <v>41000</v>
      </c>
      <c r="F115" s="10" t="s">
        <v>239</v>
      </c>
      <c r="G115" s="10" t="s">
        <v>107</v>
      </c>
      <c r="H115" s="11">
        <v>42200</v>
      </c>
      <c r="J115" s="10" t="s">
        <v>126</v>
      </c>
      <c r="K115" s="10" t="s">
        <v>107</v>
      </c>
      <c r="L115" s="11">
        <v>6600</v>
      </c>
      <c r="M115" t="s">
        <v>568</v>
      </c>
    </row>
    <row r="116" spans="2:13" ht="12.75">
      <c r="B116" s="10" t="s">
        <v>174</v>
      </c>
      <c r="C116" s="10" t="s">
        <v>146</v>
      </c>
      <c r="D116" s="11">
        <v>40400</v>
      </c>
      <c r="F116" s="10" t="s">
        <v>240</v>
      </c>
      <c r="G116" s="10" t="s">
        <v>107</v>
      </c>
      <c r="H116" s="11">
        <v>65500</v>
      </c>
      <c r="J116" s="8" t="s">
        <v>478</v>
      </c>
      <c r="K116" s="8" t="s">
        <v>107</v>
      </c>
      <c r="L116" s="9">
        <v>5400</v>
      </c>
      <c r="M116" t="s">
        <v>568</v>
      </c>
    </row>
    <row r="117" spans="2:13" ht="12.75">
      <c r="B117" s="10" t="s">
        <v>349</v>
      </c>
      <c r="C117" s="10" t="s">
        <v>255</v>
      </c>
      <c r="D117" s="11">
        <v>40200</v>
      </c>
      <c r="F117" s="10" t="s">
        <v>241</v>
      </c>
      <c r="G117" s="10" t="s">
        <v>124</v>
      </c>
      <c r="H117" s="11">
        <v>278000</v>
      </c>
      <c r="J117" s="10" t="s">
        <v>59</v>
      </c>
      <c r="K117" s="10" t="s">
        <v>121</v>
      </c>
      <c r="L117" s="11">
        <v>299000</v>
      </c>
      <c r="M117" t="s">
        <v>567</v>
      </c>
    </row>
    <row r="118" spans="2:13" ht="12.75">
      <c r="B118" s="10" t="s">
        <v>459</v>
      </c>
      <c r="C118" s="10" t="s">
        <v>146</v>
      </c>
      <c r="D118" s="11">
        <v>39900</v>
      </c>
      <c r="F118" s="10" t="s">
        <v>242</v>
      </c>
      <c r="G118" s="10" t="s">
        <v>124</v>
      </c>
      <c r="H118" s="11">
        <v>1103000</v>
      </c>
      <c r="J118" s="10" t="s">
        <v>105</v>
      </c>
      <c r="K118" s="10" t="s">
        <v>121</v>
      </c>
      <c r="L118" s="11">
        <v>93400</v>
      </c>
      <c r="M118" t="s">
        <v>567</v>
      </c>
    </row>
    <row r="119" spans="2:13" ht="12.75">
      <c r="B119" s="10" t="s">
        <v>202</v>
      </c>
      <c r="C119" s="10" t="s">
        <v>161</v>
      </c>
      <c r="D119" s="11">
        <v>39800</v>
      </c>
      <c r="F119" s="10" t="s">
        <v>243</v>
      </c>
      <c r="G119" s="10" t="s">
        <v>153</v>
      </c>
      <c r="H119" s="11">
        <v>23000</v>
      </c>
      <c r="J119" s="10" t="s">
        <v>328</v>
      </c>
      <c r="K119" s="10" t="s">
        <v>121</v>
      </c>
      <c r="L119" s="11">
        <v>67500</v>
      </c>
      <c r="M119" t="s">
        <v>567</v>
      </c>
    </row>
    <row r="120" spans="2:13" ht="12.75">
      <c r="B120" s="10" t="s">
        <v>187</v>
      </c>
      <c r="C120" s="10" t="s">
        <v>143</v>
      </c>
      <c r="D120" s="11">
        <v>39100</v>
      </c>
      <c r="F120" s="10" t="s">
        <v>244</v>
      </c>
      <c r="G120" s="10" t="s">
        <v>146</v>
      </c>
      <c r="H120" s="11">
        <v>5700</v>
      </c>
      <c r="J120" s="8" t="s">
        <v>396</v>
      </c>
      <c r="K120" s="8" t="s">
        <v>121</v>
      </c>
      <c r="L120" s="9">
        <v>56100</v>
      </c>
      <c r="M120" t="s">
        <v>567</v>
      </c>
    </row>
    <row r="121" spans="2:13" ht="12.75">
      <c r="B121" s="10" t="s">
        <v>563</v>
      </c>
      <c r="C121" s="10" t="s">
        <v>107</v>
      </c>
      <c r="D121" s="11">
        <v>38100</v>
      </c>
      <c r="F121" s="10" t="s">
        <v>245</v>
      </c>
      <c r="G121" s="10" t="s">
        <v>107</v>
      </c>
      <c r="H121" s="11">
        <v>36100</v>
      </c>
      <c r="J121" s="10" t="s">
        <v>365</v>
      </c>
      <c r="K121" s="10" t="s">
        <v>121</v>
      </c>
      <c r="L121" s="11">
        <v>29800</v>
      </c>
      <c r="M121" t="s">
        <v>567</v>
      </c>
    </row>
    <row r="122" spans="2:13" ht="12.75">
      <c r="B122" s="10" t="s">
        <v>106</v>
      </c>
      <c r="C122" s="10" t="s">
        <v>107</v>
      </c>
      <c r="D122" s="11">
        <v>37900</v>
      </c>
      <c r="F122" s="10" t="s">
        <v>246</v>
      </c>
      <c r="G122" s="10" t="s">
        <v>107</v>
      </c>
      <c r="H122" s="11">
        <v>24600</v>
      </c>
      <c r="J122" s="10" t="s">
        <v>329</v>
      </c>
      <c r="K122" s="10" t="s">
        <v>121</v>
      </c>
      <c r="L122" s="11">
        <v>27600</v>
      </c>
      <c r="M122" t="s">
        <v>567</v>
      </c>
    </row>
    <row r="123" spans="2:13" ht="12.75">
      <c r="B123" s="8" t="s">
        <v>476</v>
      </c>
      <c r="C123" s="8" t="s">
        <v>206</v>
      </c>
      <c r="D123" s="9">
        <v>37800</v>
      </c>
      <c r="F123" s="10" t="s">
        <v>247</v>
      </c>
      <c r="G123" s="10" t="s">
        <v>172</v>
      </c>
      <c r="H123" s="11">
        <v>22100</v>
      </c>
      <c r="J123" s="10" t="s">
        <v>409</v>
      </c>
      <c r="K123" s="10" t="s">
        <v>121</v>
      </c>
      <c r="L123" s="11">
        <v>18700</v>
      </c>
      <c r="M123" t="s">
        <v>567</v>
      </c>
    </row>
    <row r="124" spans="2:13" ht="12.75">
      <c r="B124" s="10" t="s">
        <v>177</v>
      </c>
      <c r="C124" s="10" t="s">
        <v>143</v>
      </c>
      <c r="D124" s="11">
        <v>37600</v>
      </c>
      <c r="F124" s="10" t="s">
        <v>248</v>
      </c>
      <c r="G124" s="10" t="s">
        <v>109</v>
      </c>
      <c r="H124" s="11">
        <v>24000</v>
      </c>
      <c r="J124" s="8" t="s">
        <v>444</v>
      </c>
      <c r="K124" s="8" t="s">
        <v>121</v>
      </c>
      <c r="L124" s="9">
        <v>16400</v>
      </c>
      <c r="M124" t="s">
        <v>567</v>
      </c>
    </row>
    <row r="125" spans="2:13" ht="12.75">
      <c r="B125" s="10" t="s">
        <v>293</v>
      </c>
      <c r="C125" s="10" t="s">
        <v>143</v>
      </c>
      <c r="D125" s="11">
        <v>37600</v>
      </c>
      <c r="F125" s="10" t="s">
        <v>249</v>
      </c>
      <c r="G125" s="10" t="s">
        <v>107</v>
      </c>
      <c r="H125" s="11">
        <v>1050000</v>
      </c>
      <c r="J125" s="10" t="s">
        <v>120</v>
      </c>
      <c r="K125" s="10" t="s">
        <v>121</v>
      </c>
      <c r="L125" s="11">
        <v>11100</v>
      </c>
      <c r="M125" t="s">
        <v>567</v>
      </c>
    </row>
    <row r="126" spans="2:13" ht="12.75">
      <c r="B126" s="8" t="s">
        <v>490</v>
      </c>
      <c r="C126" s="8" t="s">
        <v>206</v>
      </c>
      <c r="D126" s="9">
        <v>36800</v>
      </c>
      <c r="F126" s="10" t="s">
        <v>250</v>
      </c>
      <c r="G126" s="10" t="s">
        <v>146</v>
      </c>
      <c r="H126" s="11">
        <v>79200</v>
      </c>
      <c r="J126" s="8" t="s">
        <v>422</v>
      </c>
      <c r="K126" s="8" t="s">
        <v>121</v>
      </c>
      <c r="L126" s="9">
        <v>3633</v>
      </c>
      <c r="M126" t="s">
        <v>567</v>
      </c>
    </row>
    <row r="127" spans="2:13" ht="12.75">
      <c r="B127" s="10" t="s">
        <v>387</v>
      </c>
      <c r="C127" s="10" t="s">
        <v>206</v>
      </c>
      <c r="D127" s="11">
        <v>36700</v>
      </c>
      <c r="F127" s="10" t="s">
        <v>251</v>
      </c>
      <c r="G127" s="10" t="s">
        <v>130</v>
      </c>
      <c r="H127" s="11">
        <v>6600</v>
      </c>
      <c r="J127" s="10" t="s">
        <v>383</v>
      </c>
      <c r="K127" s="10" t="s">
        <v>155</v>
      </c>
      <c r="L127" s="11">
        <v>88000</v>
      </c>
      <c r="M127" t="s">
        <v>567</v>
      </c>
    </row>
    <row r="128" spans="2:13" ht="12.75">
      <c r="B128" s="10" t="s">
        <v>471</v>
      </c>
      <c r="C128" s="10" t="s">
        <v>124</v>
      </c>
      <c r="D128" s="11">
        <v>36400</v>
      </c>
      <c r="F128" s="10" t="s">
        <v>252</v>
      </c>
      <c r="G128" s="10" t="s">
        <v>107</v>
      </c>
      <c r="H128" s="11">
        <v>74400</v>
      </c>
      <c r="J128" s="10" t="s">
        <v>534</v>
      </c>
      <c r="K128" s="10" t="s">
        <v>155</v>
      </c>
      <c r="L128" s="11">
        <v>32300</v>
      </c>
      <c r="M128" t="s">
        <v>567</v>
      </c>
    </row>
    <row r="129" spans="2:13" ht="12.75">
      <c r="B129" s="10" t="s">
        <v>312</v>
      </c>
      <c r="C129" s="10" t="s">
        <v>111</v>
      </c>
      <c r="D129" s="11">
        <v>36300</v>
      </c>
      <c r="F129" s="10" t="s">
        <v>253</v>
      </c>
      <c r="G129" s="10" t="s">
        <v>146</v>
      </c>
      <c r="H129" s="11">
        <v>9000</v>
      </c>
      <c r="J129" s="10" t="s">
        <v>154</v>
      </c>
      <c r="K129" s="10" t="s">
        <v>155</v>
      </c>
      <c r="L129" s="11">
        <v>28900</v>
      </c>
      <c r="M129" t="s">
        <v>567</v>
      </c>
    </row>
    <row r="130" spans="2:13" ht="12.75">
      <c r="B130" s="10" t="s">
        <v>245</v>
      </c>
      <c r="C130" s="10" t="s">
        <v>107</v>
      </c>
      <c r="D130" s="11">
        <v>36100</v>
      </c>
      <c r="F130" s="10" t="s">
        <v>254</v>
      </c>
      <c r="G130" s="10" t="s">
        <v>255</v>
      </c>
      <c r="H130" s="11">
        <v>41000</v>
      </c>
      <c r="J130" s="10" t="s">
        <v>200</v>
      </c>
      <c r="K130" s="10" t="s">
        <v>155</v>
      </c>
      <c r="L130" s="11">
        <v>27600</v>
      </c>
      <c r="M130" t="s">
        <v>567</v>
      </c>
    </row>
    <row r="131" spans="2:13" ht="12.75">
      <c r="B131" s="8" t="s">
        <v>375</v>
      </c>
      <c r="C131" s="8" t="s">
        <v>135</v>
      </c>
      <c r="D131" s="9">
        <v>36000</v>
      </c>
      <c r="F131" s="10" t="s">
        <v>256</v>
      </c>
      <c r="G131" s="10" t="s">
        <v>255</v>
      </c>
      <c r="H131" s="11">
        <v>10700</v>
      </c>
      <c r="J131" s="10" t="s">
        <v>461</v>
      </c>
      <c r="K131" s="10" t="s">
        <v>155</v>
      </c>
      <c r="L131" s="11">
        <v>18600</v>
      </c>
      <c r="M131" t="s">
        <v>567</v>
      </c>
    </row>
    <row r="132" spans="2:13" ht="12.75">
      <c r="B132" s="10" t="s">
        <v>222</v>
      </c>
      <c r="C132" s="10" t="s">
        <v>130</v>
      </c>
      <c r="D132" s="11">
        <v>35300</v>
      </c>
      <c r="F132" s="10" t="s">
        <v>257</v>
      </c>
      <c r="G132" s="10" t="s">
        <v>206</v>
      </c>
      <c r="H132" s="11">
        <v>18900</v>
      </c>
      <c r="J132" s="10" t="s">
        <v>447</v>
      </c>
      <c r="K132" s="10" t="s">
        <v>155</v>
      </c>
      <c r="L132" s="11">
        <v>17000</v>
      </c>
      <c r="M132" t="s">
        <v>567</v>
      </c>
    </row>
    <row r="133" spans="2:13" ht="12.75">
      <c r="B133" s="10" t="s">
        <v>115</v>
      </c>
      <c r="C133" s="10" t="s">
        <v>114</v>
      </c>
      <c r="D133" s="11">
        <v>34800</v>
      </c>
      <c r="F133" s="10" t="s">
        <v>258</v>
      </c>
      <c r="G133" s="10" t="s">
        <v>114</v>
      </c>
      <c r="H133" s="11">
        <v>114000</v>
      </c>
      <c r="J133" s="8" t="s">
        <v>521</v>
      </c>
      <c r="K133" s="8" t="s">
        <v>155</v>
      </c>
      <c r="L133" s="9">
        <v>11200</v>
      </c>
      <c r="M133" t="s">
        <v>567</v>
      </c>
    </row>
    <row r="134" spans="2:13" ht="12.75">
      <c r="B134" s="10" t="s">
        <v>518</v>
      </c>
      <c r="C134" s="10" t="s">
        <v>146</v>
      </c>
      <c r="D134" s="11">
        <v>34200</v>
      </c>
      <c r="F134" s="10" t="s">
        <v>259</v>
      </c>
      <c r="G134" s="10" t="s">
        <v>107</v>
      </c>
      <c r="H134" s="11">
        <v>111400</v>
      </c>
      <c r="J134" s="10" t="s">
        <v>294</v>
      </c>
      <c r="K134" s="10" t="s">
        <v>155</v>
      </c>
      <c r="L134" s="11">
        <v>10600</v>
      </c>
      <c r="M134" t="s">
        <v>567</v>
      </c>
    </row>
    <row r="135" spans="2:13" ht="12.75">
      <c r="B135" s="8" t="s">
        <v>546</v>
      </c>
      <c r="C135" s="8" t="s">
        <v>132</v>
      </c>
      <c r="D135" s="9">
        <v>34100</v>
      </c>
      <c r="F135" s="10" t="s">
        <v>260</v>
      </c>
      <c r="G135" s="10" t="s">
        <v>189</v>
      </c>
      <c r="H135" s="11">
        <v>16200</v>
      </c>
      <c r="J135" s="8" t="s">
        <v>544</v>
      </c>
      <c r="K135" s="8" t="s">
        <v>155</v>
      </c>
      <c r="L135" s="9">
        <v>9600</v>
      </c>
      <c r="M135" t="s">
        <v>567</v>
      </c>
    </row>
    <row r="136" spans="2:13" ht="12.75">
      <c r="B136" s="8" t="s">
        <v>408</v>
      </c>
      <c r="C136" s="8" t="s">
        <v>143</v>
      </c>
      <c r="D136" s="9">
        <v>33000</v>
      </c>
      <c r="F136" s="10" t="s">
        <v>261</v>
      </c>
      <c r="G136" s="10" t="s">
        <v>107</v>
      </c>
      <c r="H136" s="11">
        <v>13700</v>
      </c>
      <c r="J136" s="10" t="s">
        <v>267</v>
      </c>
      <c r="K136" s="10" t="s">
        <v>153</v>
      </c>
      <c r="L136" s="11">
        <v>848000</v>
      </c>
      <c r="M136" t="s">
        <v>567</v>
      </c>
    </row>
    <row r="137" spans="2:13" ht="12.75">
      <c r="B137" s="10" t="s">
        <v>510</v>
      </c>
      <c r="C137" s="10" t="s">
        <v>124</v>
      </c>
      <c r="D137" s="11">
        <v>32900</v>
      </c>
      <c r="F137" s="10" t="s">
        <v>262</v>
      </c>
      <c r="G137" s="10" t="s">
        <v>124</v>
      </c>
      <c r="H137" s="11">
        <v>54000</v>
      </c>
      <c r="J137" s="10" t="s">
        <v>369</v>
      </c>
      <c r="K137" s="10" t="s">
        <v>153</v>
      </c>
      <c r="L137" s="11">
        <v>173000</v>
      </c>
      <c r="M137" t="s">
        <v>567</v>
      </c>
    </row>
    <row r="138" spans="2:13" ht="12.75">
      <c r="B138" s="10" t="s">
        <v>333</v>
      </c>
      <c r="C138" s="10" t="s">
        <v>255</v>
      </c>
      <c r="D138" s="11">
        <v>32800</v>
      </c>
      <c r="F138" s="10" t="s">
        <v>263</v>
      </c>
      <c r="G138" s="10" t="s">
        <v>146</v>
      </c>
      <c r="H138" s="11">
        <v>11600</v>
      </c>
      <c r="J138" s="10" t="s">
        <v>152</v>
      </c>
      <c r="K138" s="10" t="s">
        <v>153</v>
      </c>
      <c r="L138" s="11">
        <v>134000</v>
      </c>
      <c r="M138" t="s">
        <v>567</v>
      </c>
    </row>
    <row r="139" spans="2:13" ht="12.75">
      <c r="B139" s="10" t="s">
        <v>534</v>
      </c>
      <c r="C139" s="10" t="s">
        <v>155</v>
      </c>
      <c r="D139" s="11">
        <v>32300</v>
      </c>
      <c r="F139" s="10" t="s">
        <v>59</v>
      </c>
      <c r="G139" s="10" t="s">
        <v>121</v>
      </c>
      <c r="H139" s="11">
        <v>299000</v>
      </c>
      <c r="J139" s="8" t="s">
        <v>554</v>
      </c>
      <c r="K139" s="8" t="s">
        <v>153</v>
      </c>
      <c r="L139" s="9">
        <v>51500</v>
      </c>
      <c r="M139" t="s">
        <v>567</v>
      </c>
    </row>
    <row r="140" spans="2:13" ht="12.75">
      <c r="B140" s="10" t="s">
        <v>201</v>
      </c>
      <c r="C140" s="10" t="s">
        <v>143</v>
      </c>
      <c r="D140" s="11">
        <v>32000</v>
      </c>
      <c r="F140" s="10" t="s">
        <v>264</v>
      </c>
      <c r="G140" s="10" t="s">
        <v>135</v>
      </c>
      <c r="H140" s="11">
        <v>41200</v>
      </c>
      <c r="J140" s="8" t="s">
        <v>515</v>
      </c>
      <c r="K140" s="8" t="s">
        <v>153</v>
      </c>
      <c r="L140" s="9">
        <v>42300</v>
      </c>
      <c r="M140" t="s">
        <v>567</v>
      </c>
    </row>
    <row r="141" spans="2:13" ht="12.75">
      <c r="B141" s="10" t="s">
        <v>313</v>
      </c>
      <c r="C141" s="10" t="s">
        <v>107</v>
      </c>
      <c r="D141" s="11">
        <v>31600</v>
      </c>
      <c r="F141" s="10" t="s">
        <v>265</v>
      </c>
      <c r="G141" s="10" t="s">
        <v>146</v>
      </c>
      <c r="H141" s="11">
        <v>13700</v>
      </c>
      <c r="J141" s="10" t="s">
        <v>243</v>
      </c>
      <c r="K141" s="10" t="s">
        <v>153</v>
      </c>
      <c r="L141" s="11">
        <v>23000</v>
      </c>
      <c r="M141" t="s">
        <v>567</v>
      </c>
    </row>
    <row r="142" spans="2:13" ht="12.75">
      <c r="B142" s="10" t="s">
        <v>341</v>
      </c>
      <c r="C142" s="10" t="s">
        <v>114</v>
      </c>
      <c r="D142" s="11">
        <v>31500</v>
      </c>
      <c r="F142" s="10" t="s">
        <v>266</v>
      </c>
      <c r="G142" s="10" t="s">
        <v>157</v>
      </c>
      <c r="H142" s="11">
        <v>11300</v>
      </c>
      <c r="J142" s="8" t="s">
        <v>431</v>
      </c>
      <c r="K142" s="8" t="s">
        <v>153</v>
      </c>
      <c r="L142" s="9">
        <v>22100</v>
      </c>
      <c r="M142" t="s">
        <v>567</v>
      </c>
    </row>
    <row r="143" spans="2:13" ht="12.75">
      <c r="B143" s="10" t="s">
        <v>353</v>
      </c>
      <c r="C143" s="10" t="s">
        <v>130</v>
      </c>
      <c r="D143" s="11">
        <v>31500</v>
      </c>
      <c r="F143" s="10" t="s">
        <v>267</v>
      </c>
      <c r="G143" s="10" t="s">
        <v>153</v>
      </c>
      <c r="H143" s="11">
        <v>848000</v>
      </c>
      <c r="J143" s="10" t="s">
        <v>412</v>
      </c>
      <c r="K143" s="10" t="s">
        <v>153</v>
      </c>
      <c r="L143" s="11">
        <v>20600</v>
      </c>
      <c r="M143" t="s">
        <v>567</v>
      </c>
    </row>
    <row r="144" spans="2:13" ht="12.75">
      <c r="B144" s="10" t="s">
        <v>235</v>
      </c>
      <c r="C144" s="10" t="s">
        <v>107</v>
      </c>
      <c r="D144" s="11">
        <v>31300</v>
      </c>
      <c r="F144" s="10" t="s">
        <v>268</v>
      </c>
      <c r="G144" s="10" t="s">
        <v>192</v>
      </c>
      <c r="H144" s="11">
        <v>10000</v>
      </c>
      <c r="J144" s="10" t="s">
        <v>234</v>
      </c>
      <c r="K144" s="10" t="s">
        <v>153</v>
      </c>
      <c r="L144" s="11">
        <v>18600</v>
      </c>
      <c r="M144" t="s">
        <v>567</v>
      </c>
    </row>
    <row r="145" spans="2:13" ht="12.75">
      <c r="B145" s="8" t="s">
        <v>418</v>
      </c>
      <c r="C145" s="8" t="s">
        <v>132</v>
      </c>
      <c r="D145" s="9">
        <v>31200</v>
      </c>
      <c r="F145" s="10" t="s">
        <v>269</v>
      </c>
      <c r="G145" s="10" t="s">
        <v>157</v>
      </c>
      <c r="H145" s="11">
        <v>14600</v>
      </c>
      <c r="J145" s="10" t="s">
        <v>303</v>
      </c>
      <c r="K145" s="10" t="s">
        <v>153</v>
      </c>
      <c r="L145" s="11">
        <v>17200</v>
      </c>
      <c r="M145" t="s">
        <v>567</v>
      </c>
    </row>
    <row r="146" spans="2:13" ht="12.75">
      <c r="B146" s="10" t="s">
        <v>421</v>
      </c>
      <c r="C146" s="10" t="s">
        <v>143</v>
      </c>
      <c r="D146" s="11">
        <v>31100</v>
      </c>
      <c r="F146" s="10" t="s">
        <v>270</v>
      </c>
      <c r="G146" s="10" t="s">
        <v>157</v>
      </c>
      <c r="H146" s="11">
        <v>8100</v>
      </c>
      <c r="J146" s="10" t="s">
        <v>209</v>
      </c>
      <c r="K146" s="10" t="s">
        <v>153</v>
      </c>
      <c r="L146" s="11">
        <v>16900</v>
      </c>
      <c r="M146" t="s">
        <v>567</v>
      </c>
    </row>
    <row r="147" spans="2:13" ht="12.75">
      <c r="B147" s="8" t="s">
        <v>460</v>
      </c>
      <c r="C147" s="8" t="s">
        <v>255</v>
      </c>
      <c r="D147" s="9">
        <v>31100</v>
      </c>
      <c r="F147" s="10" t="s">
        <v>271</v>
      </c>
      <c r="G147" s="10" t="s">
        <v>189</v>
      </c>
      <c r="H147" s="11">
        <v>21800</v>
      </c>
      <c r="J147" s="10" t="s">
        <v>186</v>
      </c>
      <c r="K147" s="10" t="s">
        <v>153</v>
      </c>
      <c r="L147" s="11">
        <v>16500</v>
      </c>
      <c r="M147" t="s">
        <v>567</v>
      </c>
    </row>
    <row r="148" spans="2:13" ht="12.75">
      <c r="B148" s="10" t="s">
        <v>350</v>
      </c>
      <c r="C148" s="10" t="s">
        <v>132</v>
      </c>
      <c r="D148" s="11">
        <v>30900</v>
      </c>
      <c r="F148" s="10" t="s">
        <v>272</v>
      </c>
      <c r="G148" s="10" t="s">
        <v>255</v>
      </c>
      <c r="H148" s="11">
        <v>27000</v>
      </c>
      <c r="J148" s="10" t="s">
        <v>438</v>
      </c>
      <c r="K148" s="10" t="s">
        <v>153</v>
      </c>
      <c r="L148" s="11">
        <v>13900</v>
      </c>
      <c r="M148" t="s">
        <v>567</v>
      </c>
    </row>
    <row r="149" spans="2:13" ht="12.75">
      <c r="B149" s="10" t="s">
        <v>279</v>
      </c>
      <c r="C149" s="10" t="s">
        <v>189</v>
      </c>
      <c r="D149" s="11">
        <v>30700</v>
      </c>
      <c r="F149" s="10" t="s">
        <v>273</v>
      </c>
      <c r="G149" s="10" t="s">
        <v>124</v>
      </c>
      <c r="H149" s="11">
        <v>16000</v>
      </c>
      <c r="J149" s="8" t="s">
        <v>377</v>
      </c>
      <c r="K149" s="8" t="s">
        <v>153</v>
      </c>
      <c r="L149" s="9">
        <v>8500</v>
      </c>
      <c r="M149" t="s">
        <v>567</v>
      </c>
    </row>
    <row r="150" spans="2:13" ht="12.75">
      <c r="B150" s="10" t="s">
        <v>131</v>
      </c>
      <c r="C150" s="10" t="s">
        <v>132</v>
      </c>
      <c r="D150" s="11">
        <v>30600</v>
      </c>
      <c r="F150" s="10" t="s">
        <v>274</v>
      </c>
      <c r="G150" s="10" t="s">
        <v>214</v>
      </c>
      <c r="H150" s="11">
        <v>10300</v>
      </c>
      <c r="J150" s="10" t="s">
        <v>299</v>
      </c>
      <c r="K150" s="10" t="s">
        <v>172</v>
      </c>
      <c r="L150" s="11">
        <v>72600</v>
      </c>
      <c r="M150" t="s">
        <v>567</v>
      </c>
    </row>
    <row r="151" spans="2:13" ht="12.75">
      <c r="B151" s="8" t="s">
        <v>458</v>
      </c>
      <c r="C151" s="8" t="s">
        <v>114</v>
      </c>
      <c r="D151" s="9">
        <v>30600</v>
      </c>
      <c r="F151" s="10" t="s">
        <v>275</v>
      </c>
      <c r="G151" s="10" t="s">
        <v>111</v>
      </c>
      <c r="H151" s="11">
        <v>11700</v>
      </c>
      <c r="J151" s="10" t="s">
        <v>320</v>
      </c>
      <c r="K151" s="10" t="s">
        <v>172</v>
      </c>
      <c r="L151" s="11">
        <v>66500</v>
      </c>
      <c r="M151" t="s">
        <v>567</v>
      </c>
    </row>
    <row r="152" spans="2:13" ht="12.75">
      <c r="B152" s="8" t="s">
        <v>527</v>
      </c>
      <c r="C152" s="8" t="s">
        <v>135</v>
      </c>
      <c r="D152" s="9">
        <v>30500</v>
      </c>
      <c r="F152" s="10" t="s">
        <v>276</v>
      </c>
      <c r="G152" s="10" t="s">
        <v>132</v>
      </c>
      <c r="H152" s="11">
        <v>16400</v>
      </c>
      <c r="J152" s="10" t="s">
        <v>247</v>
      </c>
      <c r="K152" s="10" t="s">
        <v>172</v>
      </c>
      <c r="L152" s="11">
        <v>22100</v>
      </c>
      <c r="M152" t="s">
        <v>567</v>
      </c>
    </row>
    <row r="153" spans="2:13" ht="12.75">
      <c r="B153" s="10" t="s">
        <v>545</v>
      </c>
      <c r="C153" s="10" t="s">
        <v>157</v>
      </c>
      <c r="D153" s="11">
        <v>30200</v>
      </c>
      <c r="F153" s="10" t="s">
        <v>277</v>
      </c>
      <c r="G153" s="10" t="s">
        <v>109</v>
      </c>
      <c r="H153" s="11">
        <v>30000</v>
      </c>
      <c r="J153" s="8" t="s">
        <v>384</v>
      </c>
      <c r="K153" s="8" t="s">
        <v>172</v>
      </c>
      <c r="L153" s="9">
        <v>22100</v>
      </c>
      <c r="M153" t="s">
        <v>567</v>
      </c>
    </row>
    <row r="154" spans="2:13" ht="12.75">
      <c r="B154" s="10" t="s">
        <v>277</v>
      </c>
      <c r="C154" s="10" t="s">
        <v>109</v>
      </c>
      <c r="D154" s="11">
        <v>30000</v>
      </c>
      <c r="F154" s="10" t="s">
        <v>278</v>
      </c>
      <c r="G154" s="10" t="s">
        <v>111</v>
      </c>
      <c r="H154" s="11">
        <v>20000</v>
      </c>
      <c r="J154" s="10" t="s">
        <v>181</v>
      </c>
      <c r="K154" s="10" t="s">
        <v>172</v>
      </c>
      <c r="L154" s="11">
        <v>16100</v>
      </c>
      <c r="M154" t="s">
        <v>567</v>
      </c>
    </row>
    <row r="155" spans="2:13" ht="12.75">
      <c r="B155" s="10" t="s">
        <v>365</v>
      </c>
      <c r="C155" s="10" t="s">
        <v>121</v>
      </c>
      <c r="D155" s="11">
        <v>29800</v>
      </c>
      <c r="F155" s="10" t="s">
        <v>279</v>
      </c>
      <c r="G155" s="10" t="s">
        <v>189</v>
      </c>
      <c r="H155" s="11">
        <v>30700</v>
      </c>
      <c r="J155" s="10" t="s">
        <v>171</v>
      </c>
      <c r="K155" s="10" t="s">
        <v>172</v>
      </c>
      <c r="L155" s="11">
        <v>11200</v>
      </c>
      <c r="M155" t="s">
        <v>567</v>
      </c>
    </row>
    <row r="156" spans="2:13" ht="12.75">
      <c r="B156" s="10" t="s">
        <v>422</v>
      </c>
      <c r="C156" s="10" t="s">
        <v>124</v>
      </c>
      <c r="D156" s="11">
        <v>29374</v>
      </c>
      <c r="F156" s="10" t="s">
        <v>280</v>
      </c>
      <c r="G156" s="10" t="s">
        <v>146</v>
      </c>
      <c r="H156" s="11">
        <v>23900</v>
      </c>
      <c r="J156" s="10" t="s">
        <v>483</v>
      </c>
      <c r="K156" s="10" t="s">
        <v>172</v>
      </c>
      <c r="L156" s="11">
        <v>10900</v>
      </c>
      <c r="M156" t="s">
        <v>567</v>
      </c>
    </row>
    <row r="157" spans="2:13" ht="12.75">
      <c r="B157" s="10" t="s">
        <v>417</v>
      </c>
      <c r="C157" s="10" t="s">
        <v>124</v>
      </c>
      <c r="D157" s="11">
        <v>29300</v>
      </c>
      <c r="F157" s="10" t="s">
        <v>280</v>
      </c>
      <c r="G157" s="10" t="s">
        <v>132</v>
      </c>
      <c r="H157" s="11">
        <v>10200</v>
      </c>
      <c r="J157" s="10" t="s">
        <v>227</v>
      </c>
      <c r="K157" s="10" t="s">
        <v>172</v>
      </c>
      <c r="L157" s="11">
        <v>10200</v>
      </c>
      <c r="M157" t="s">
        <v>567</v>
      </c>
    </row>
    <row r="158" spans="2:13" ht="12.75">
      <c r="B158" s="10" t="s">
        <v>154</v>
      </c>
      <c r="C158" s="10" t="s">
        <v>155</v>
      </c>
      <c r="D158" s="11">
        <v>28900</v>
      </c>
      <c r="F158" s="10" t="s">
        <v>281</v>
      </c>
      <c r="G158" s="10" t="s">
        <v>111</v>
      </c>
      <c r="H158" s="11">
        <v>8800</v>
      </c>
      <c r="J158" s="8" t="s">
        <v>513</v>
      </c>
      <c r="K158" s="8" t="s">
        <v>172</v>
      </c>
      <c r="L158" s="9">
        <v>9500</v>
      </c>
      <c r="M158" t="s">
        <v>567</v>
      </c>
    </row>
    <row r="159" spans="2:13" ht="12.75">
      <c r="B159" s="10" t="s">
        <v>319</v>
      </c>
      <c r="C159" s="10" t="s">
        <v>135</v>
      </c>
      <c r="D159" s="11">
        <v>28900</v>
      </c>
      <c r="F159" s="10" t="s">
        <v>282</v>
      </c>
      <c r="G159" s="10" t="s">
        <v>107</v>
      </c>
      <c r="H159" s="11">
        <v>21500</v>
      </c>
      <c r="J159" s="10" t="s">
        <v>332</v>
      </c>
      <c r="K159" s="10" t="s">
        <v>172</v>
      </c>
      <c r="L159" s="11">
        <v>9300</v>
      </c>
      <c r="M159" t="s">
        <v>567</v>
      </c>
    </row>
    <row r="160" spans="2:13" ht="12.75">
      <c r="B160" s="10" t="s">
        <v>376</v>
      </c>
      <c r="C160" s="10" t="s">
        <v>111</v>
      </c>
      <c r="D160" s="11">
        <v>28900</v>
      </c>
      <c r="F160" s="10" t="s">
        <v>283</v>
      </c>
      <c r="G160" s="10" t="s">
        <v>172</v>
      </c>
      <c r="H160" s="11">
        <v>237200</v>
      </c>
      <c r="J160" s="10" t="s">
        <v>514</v>
      </c>
      <c r="K160" s="10" t="s">
        <v>172</v>
      </c>
      <c r="L160" s="11">
        <v>9300</v>
      </c>
      <c r="M160" t="s">
        <v>567</v>
      </c>
    </row>
    <row r="161" spans="2:13" ht="12.75">
      <c r="B161" s="10" t="s">
        <v>305</v>
      </c>
      <c r="C161" s="10" t="s">
        <v>189</v>
      </c>
      <c r="D161" s="11">
        <v>28800</v>
      </c>
      <c r="F161" s="10" t="s">
        <v>284</v>
      </c>
      <c r="G161" s="10" t="s">
        <v>119</v>
      </c>
      <c r="H161" s="11">
        <v>95100</v>
      </c>
      <c r="J161" s="8" t="s">
        <v>452</v>
      </c>
      <c r="K161" s="8" t="s">
        <v>172</v>
      </c>
      <c r="L161" s="9">
        <v>8800</v>
      </c>
      <c r="M161" t="s">
        <v>567</v>
      </c>
    </row>
    <row r="162" spans="2:13" ht="12.75">
      <c r="B162" s="10" t="s">
        <v>406</v>
      </c>
      <c r="C162" s="10" t="s">
        <v>146</v>
      </c>
      <c r="D162" s="11">
        <v>28800</v>
      </c>
      <c r="F162" s="10" t="s">
        <v>285</v>
      </c>
      <c r="G162" s="10" t="s">
        <v>132</v>
      </c>
      <c r="H162" s="11">
        <v>54300</v>
      </c>
      <c r="J162" s="8" t="s">
        <v>562</v>
      </c>
      <c r="K162" s="8" t="s">
        <v>172</v>
      </c>
      <c r="L162" s="9">
        <v>8800</v>
      </c>
      <c r="M162" t="s">
        <v>567</v>
      </c>
    </row>
    <row r="163" spans="2:13" ht="12.75">
      <c r="B163" s="10" t="s">
        <v>468</v>
      </c>
      <c r="C163" s="10" t="s">
        <v>107</v>
      </c>
      <c r="D163" s="11">
        <v>28600</v>
      </c>
      <c r="F163" s="10" t="s">
        <v>286</v>
      </c>
      <c r="G163" s="10" t="s">
        <v>206</v>
      </c>
      <c r="H163" s="11">
        <v>18300</v>
      </c>
      <c r="J163" s="10" t="s">
        <v>217</v>
      </c>
      <c r="K163" s="10" t="s">
        <v>172</v>
      </c>
      <c r="L163" s="11">
        <v>6900</v>
      </c>
      <c r="M163" t="s">
        <v>567</v>
      </c>
    </row>
    <row r="164" spans="2:12" ht="12.75">
      <c r="B164" s="10" t="s">
        <v>342</v>
      </c>
      <c r="C164" s="10" t="s">
        <v>107</v>
      </c>
      <c r="D164" s="11">
        <v>28300</v>
      </c>
      <c r="F164" s="10" t="s">
        <v>287</v>
      </c>
      <c r="G164" s="10" t="s">
        <v>107</v>
      </c>
      <c r="H164" s="11">
        <v>20000</v>
      </c>
      <c r="J164" s="10" t="s">
        <v>283</v>
      </c>
      <c r="K164" s="10" t="s">
        <v>172</v>
      </c>
      <c r="L164" s="11">
        <v>237200</v>
      </c>
    </row>
    <row r="165" spans="2:13" ht="12.75">
      <c r="B165" s="10" t="s">
        <v>139</v>
      </c>
      <c r="C165" s="10" t="s">
        <v>114</v>
      </c>
      <c r="D165" s="11">
        <v>27900</v>
      </c>
      <c r="F165" s="10" t="s">
        <v>288</v>
      </c>
      <c r="G165" s="10" t="s">
        <v>135</v>
      </c>
      <c r="H165" s="11">
        <v>11400</v>
      </c>
      <c r="J165" s="10" t="s">
        <v>310</v>
      </c>
      <c r="K165" s="10" t="s">
        <v>310</v>
      </c>
      <c r="L165" s="11">
        <v>2628800</v>
      </c>
      <c r="M165" t="s">
        <v>567</v>
      </c>
    </row>
    <row r="166" spans="2:13" ht="12.75">
      <c r="B166" s="10" t="s">
        <v>419</v>
      </c>
      <c r="C166" s="10" t="s">
        <v>111</v>
      </c>
      <c r="D166" s="11">
        <v>27700</v>
      </c>
      <c r="F166" s="10" t="s">
        <v>289</v>
      </c>
      <c r="G166" s="10" t="s">
        <v>119</v>
      </c>
      <c r="H166" s="11">
        <v>54800</v>
      </c>
      <c r="J166" s="10" t="s">
        <v>142</v>
      </c>
      <c r="K166" s="10" t="s">
        <v>143</v>
      </c>
      <c r="L166" s="11">
        <v>216000</v>
      </c>
      <c r="M166" t="s">
        <v>567</v>
      </c>
    </row>
    <row r="167" spans="2:13" ht="12.75">
      <c r="B167" s="10" t="s">
        <v>200</v>
      </c>
      <c r="C167" s="10" t="s">
        <v>155</v>
      </c>
      <c r="D167" s="11">
        <v>27600</v>
      </c>
      <c r="F167" s="10" t="s">
        <v>290</v>
      </c>
      <c r="G167" s="10" t="s">
        <v>124</v>
      </c>
      <c r="H167" s="11">
        <v>42400</v>
      </c>
      <c r="J167" s="10" t="s">
        <v>178</v>
      </c>
      <c r="K167" s="10" t="s">
        <v>143</v>
      </c>
      <c r="L167" s="11">
        <v>84800</v>
      </c>
      <c r="M167" t="s">
        <v>567</v>
      </c>
    </row>
    <row r="168" spans="2:13" ht="12.75">
      <c r="B168" s="10" t="s">
        <v>329</v>
      </c>
      <c r="C168" s="10" t="s">
        <v>121</v>
      </c>
      <c r="D168" s="11">
        <v>27600</v>
      </c>
      <c r="F168" s="10" t="s">
        <v>291</v>
      </c>
      <c r="G168" s="10" t="s">
        <v>292</v>
      </c>
      <c r="H168" s="11">
        <v>12800</v>
      </c>
      <c r="J168" s="8" t="s">
        <v>522</v>
      </c>
      <c r="K168" s="8" t="s">
        <v>143</v>
      </c>
      <c r="L168" s="9">
        <v>54400</v>
      </c>
      <c r="M168" t="s">
        <v>567</v>
      </c>
    </row>
    <row r="169" spans="2:13" ht="12.75">
      <c r="B169" s="10" t="s">
        <v>404</v>
      </c>
      <c r="C169" s="10" t="s">
        <v>146</v>
      </c>
      <c r="D169" s="11">
        <v>27200</v>
      </c>
      <c r="F169" s="10" t="s">
        <v>293</v>
      </c>
      <c r="G169" s="10" t="s">
        <v>143</v>
      </c>
      <c r="H169" s="11">
        <v>37600</v>
      </c>
      <c r="J169" s="10" t="s">
        <v>175</v>
      </c>
      <c r="K169" s="10" t="s">
        <v>143</v>
      </c>
      <c r="L169" s="11">
        <v>52000</v>
      </c>
      <c r="M169" t="s">
        <v>567</v>
      </c>
    </row>
    <row r="170" spans="2:13" ht="12.75">
      <c r="B170" s="10" t="s">
        <v>213</v>
      </c>
      <c r="C170" s="10" t="s">
        <v>214</v>
      </c>
      <c r="D170" s="11">
        <v>27100</v>
      </c>
      <c r="F170" s="10" t="s">
        <v>294</v>
      </c>
      <c r="G170" s="10" t="s">
        <v>155</v>
      </c>
      <c r="H170" s="11">
        <v>10600</v>
      </c>
      <c r="J170" s="10" t="s">
        <v>187</v>
      </c>
      <c r="K170" s="10" t="s">
        <v>143</v>
      </c>
      <c r="L170" s="11">
        <v>39100</v>
      </c>
      <c r="M170" t="s">
        <v>567</v>
      </c>
    </row>
    <row r="171" spans="2:13" ht="12.75">
      <c r="B171" s="10" t="s">
        <v>272</v>
      </c>
      <c r="C171" s="10" t="s">
        <v>255</v>
      </c>
      <c r="D171" s="11">
        <v>27000</v>
      </c>
      <c r="F171" s="10" t="s">
        <v>295</v>
      </c>
      <c r="G171" s="10" t="s">
        <v>138</v>
      </c>
      <c r="H171" s="11">
        <v>13700</v>
      </c>
      <c r="J171" s="10" t="s">
        <v>177</v>
      </c>
      <c r="K171" s="10" t="s">
        <v>143</v>
      </c>
      <c r="L171" s="11">
        <v>37600</v>
      </c>
      <c r="M171" t="s">
        <v>567</v>
      </c>
    </row>
    <row r="172" spans="2:13" ht="12.75">
      <c r="B172" s="10" t="s">
        <v>216</v>
      </c>
      <c r="C172" s="10" t="s">
        <v>135</v>
      </c>
      <c r="D172" s="11">
        <v>26700</v>
      </c>
      <c r="F172" s="10" t="s">
        <v>296</v>
      </c>
      <c r="G172" s="10" t="s">
        <v>143</v>
      </c>
      <c r="H172" s="11">
        <v>13700</v>
      </c>
      <c r="J172" s="10" t="s">
        <v>293</v>
      </c>
      <c r="K172" s="10" t="s">
        <v>143</v>
      </c>
      <c r="L172" s="11">
        <v>37600</v>
      </c>
      <c r="M172" t="s">
        <v>567</v>
      </c>
    </row>
    <row r="173" spans="2:13" ht="12.75">
      <c r="B173" s="10" t="s">
        <v>434</v>
      </c>
      <c r="C173" s="10" t="s">
        <v>111</v>
      </c>
      <c r="D173" s="11">
        <v>26700</v>
      </c>
      <c r="F173" s="10" t="s">
        <v>297</v>
      </c>
      <c r="G173" s="10" t="s">
        <v>135</v>
      </c>
      <c r="H173" s="11">
        <v>26121</v>
      </c>
      <c r="J173" s="8" t="s">
        <v>408</v>
      </c>
      <c r="K173" s="8" t="s">
        <v>143</v>
      </c>
      <c r="L173" s="9">
        <v>33000</v>
      </c>
      <c r="M173" t="s">
        <v>567</v>
      </c>
    </row>
    <row r="174" spans="2:13" ht="12.75">
      <c r="B174" s="10" t="s">
        <v>477</v>
      </c>
      <c r="C174" s="10" t="s">
        <v>143</v>
      </c>
      <c r="D174" s="11">
        <v>26400</v>
      </c>
      <c r="F174" s="10" t="s">
        <v>298</v>
      </c>
      <c r="G174" s="10" t="s">
        <v>135</v>
      </c>
      <c r="H174" s="11">
        <v>20800</v>
      </c>
      <c r="J174" s="10" t="s">
        <v>201</v>
      </c>
      <c r="K174" s="10" t="s">
        <v>143</v>
      </c>
      <c r="L174" s="11">
        <v>32000</v>
      </c>
      <c r="M174" t="s">
        <v>567</v>
      </c>
    </row>
    <row r="175" spans="2:13" ht="12.75">
      <c r="B175" s="10" t="s">
        <v>348</v>
      </c>
      <c r="C175" s="10" t="s">
        <v>130</v>
      </c>
      <c r="D175" s="11">
        <v>26200</v>
      </c>
      <c r="F175" s="10" t="s">
        <v>299</v>
      </c>
      <c r="G175" s="10" t="s">
        <v>172</v>
      </c>
      <c r="H175" s="11">
        <v>72600</v>
      </c>
      <c r="J175" s="10" t="s">
        <v>421</v>
      </c>
      <c r="K175" s="10" t="s">
        <v>143</v>
      </c>
      <c r="L175" s="11">
        <v>31100</v>
      </c>
      <c r="M175" t="s">
        <v>567</v>
      </c>
    </row>
    <row r="176" spans="2:13" ht="12.75">
      <c r="B176" s="10" t="s">
        <v>297</v>
      </c>
      <c r="C176" s="10" t="s">
        <v>135</v>
      </c>
      <c r="D176" s="11">
        <v>26121</v>
      </c>
      <c r="F176" s="10" t="s">
        <v>300</v>
      </c>
      <c r="G176" s="10" t="s">
        <v>206</v>
      </c>
      <c r="H176" s="11">
        <v>108000</v>
      </c>
      <c r="J176" s="10" t="s">
        <v>477</v>
      </c>
      <c r="K176" s="10" t="s">
        <v>143</v>
      </c>
      <c r="L176" s="11">
        <v>26400</v>
      </c>
      <c r="M176" t="s">
        <v>567</v>
      </c>
    </row>
    <row r="177" spans="2:13" ht="12.75">
      <c r="B177" s="8" t="s">
        <v>535</v>
      </c>
      <c r="C177" s="8" t="s">
        <v>163</v>
      </c>
      <c r="D177" s="9">
        <v>26100</v>
      </c>
      <c r="F177" s="10" t="s">
        <v>301</v>
      </c>
      <c r="G177" s="10" t="s">
        <v>189</v>
      </c>
      <c r="H177" s="11">
        <v>16400</v>
      </c>
      <c r="J177" s="10" t="s">
        <v>559</v>
      </c>
      <c r="K177" s="10" t="s">
        <v>143</v>
      </c>
      <c r="L177" s="11">
        <v>22600</v>
      </c>
      <c r="M177" t="s">
        <v>567</v>
      </c>
    </row>
    <row r="178" spans="2:13" ht="12.75">
      <c r="B178" s="10" t="s">
        <v>204</v>
      </c>
      <c r="C178" s="10" t="s">
        <v>107</v>
      </c>
      <c r="D178" s="11">
        <v>26000</v>
      </c>
      <c r="F178" s="10" t="s">
        <v>302</v>
      </c>
      <c r="G178" s="10" t="s">
        <v>146</v>
      </c>
      <c r="H178" s="11">
        <v>11200</v>
      </c>
      <c r="J178" s="10" t="s">
        <v>212</v>
      </c>
      <c r="K178" s="10" t="s">
        <v>143</v>
      </c>
      <c r="L178" s="11">
        <v>22100</v>
      </c>
      <c r="M178" t="s">
        <v>567</v>
      </c>
    </row>
    <row r="179" spans="2:13" ht="12.75">
      <c r="B179" s="10" t="s">
        <v>345</v>
      </c>
      <c r="C179" s="10" t="s">
        <v>111</v>
      </c>
      <c r="D179" s="11">
        <v>25900</v>
      </c>
      <c r="F179" s="10" t="s">
        <v>303</v>
      </c>
      <c r="G179" s="10" t="s">
        <v>153</v>
      </c>
      <c r="H179" s="11">
        <v>17200</v>
      </c>
      <c r="J179" s="10" t="s">
        <v>169</v>
      </c>
      <c r="K179" s="10" t="s">
        <v>143</v>
      </c>
      <c r="L179" s="11">
        <v>18800</v>
      </c>
      <c r="M179" t="s">
        <v>567</v>
      </c>
    </row>
    <row r="180" spans="2:13" ht="12.75">
      <c r="B180" s="8" t="s">
        <v>517</v>
      </c>
      <c r="C180" s="8" t="s">
        <v>130</v>
      </c>
      <c r="D180" s="9">
        <v>25800</v>
      </c>
      <c r="F180" s="10" t="s">
        <v>304</v>
      </c>
      <c r="G180" s="10" t="s">
        <v>161</v>
      </c>
      <c r="H180" s="11">
        <v>11600</v>
      </c>
      <c r="J180" s="8" t="s">
        <v>474</v>
      </c>
      <c r="K180" s="8" t="s">
        <v>143</v>
      </c>
      <c r="L180" s="9">
        <v>18700</v>
      </c>
      <c r="M180" t="s">
        <v>567</v>
      </c>
    </row>
    <row r="181" spans="2:13" ht="12.75">
      <c r="B181" s="10" t="s">
        <v>311</v>
      </c>
      <c r="C181" s="10" t="s">
        <v>119</v>
      </c>
      <c r="D181" s="11">
        <v>25400</v>
      </c>
      <c r="F181" s="10" t="s">
        <v>305</v>
      </c>
      <c r="G181" s="10" t="s">
        <v>189</v>
      </c>
      <c r="H181" s="11">
        <v>28800</v>
      </c>
      <c r="J181" s="10" t="s">
        <v>373</v>
      </c>
      <c r="K181" s="10" t="s">
        <v>143</v>
      </c>
      <c r="L181" s="11">
        <v>15900</v>
      </c>
      <c r="M181" t="s">
        <v>567</v>
      </c>
    </row>
    <row r="182" spans="2:13" ht="12.75">
      <c r="B182" s="10" t="s">
        <v>208</v>
      </c>
      <c r="C182" s="10" t="s">
        <v>124</v>
      </c>
      <c r="D182" s="11">
        <v>25000</v>
      </c>
      <c r="F182" s="10" t="s">
        <v>306</v>
      </c>
      <c r="G182" s="10" t="s">
        <v>214</v>
      </c>
      <c r="H182" s="11">
        <v>19600</v>
      </c>
      <c r="J182" s="10" t="s">
        <v>512</v>
      </c>
      <c r="K182" s="10" t="s">
        <v>143</v>
      </c>
      <c r="L182" s="11">
        <v>15800</v>
      </c>
      <c r="M182" t="s">
        <v>567</v>
      </c>
    </row>
    <row r="183" spans="2:13" ht="12.75">
      <c r="B183" s="10" t="s">
        <v>432</v>
      </c>
      <c r="C183" s="10" t="s">
        <v>206</v>
      </c>
      <c r="D183" s="11">
        <v>24700</v>
      </c>
      <c r="F183" s="10" t="s">
        <v>307</v>
      </c>
      <c r="G183" s="10" t="s">
        <v>163</v>
      </c>
      <c r="H183" s="11">
        <v>41900</v>
      </c>
      <c r="J183" s="10" t="s">
        <v>158</v>
      </c>
      <c r="K183" s="10" t="s">
        <v>143</v>
      </c>
      <c r="L183" s="11">
        <v>15700</v>
      </c>
      <c r="M183" t="s">
        <v>567</v>
      </c>
    </row>
    <row r="184" spans="2:13" ht="12.75">
      <c r="B184" s="10" t="s">
        <v>556</v>
      </c>
      <c r="C184" s="10" t="s">
        <v>119</v>
      </c>
      <c r="D184" s="11">
        <v>24700</v>
      </c>
      <c r="F184" s="10" t="s">
        <v>308</v>
      </c>
      <c r="G184" s="10" t="s">
        <v>114</v>
      </c>
      <c r="H184" s="11">
        <v>171000</v>
      </c>
      <c r="J184" s="8" t="s">
        <v>505</v>
      </c>
      <c r="K184" s="8" t="s">
        <v>143</v>
      </c>
      <c r="L184" s="9">
        <v>14400</v>
      </c>
      <c r="M184" t="s">
        <v>567</v>
      </c>
    </row>
    <row r="185" spans="2:13" ht="12.75">
      <c r="B185" s="10" t="s">
        <v>179</v>
      </c>
      <c r="C185" s="10" t="s">
        <v>146</v>
      </c>
      <c r="D185" s="11">
        <v>24600</v>
      </c>
      <c r="F185" s="10" t="s">
        <v>309</v>
      </c>
      <c r="G185" s="10" t="s">
        <v>161</v>
      </c>
      <c r="H185" s="11">
        <v>17400</v>
      </c>
      <c r="J185" s="10" t="s">
        <v>296</v>
      </c>
      <c r="K185" s="10" t="s">
        <v>143</v>
      </c>
      <c r="L185" s="11">
        <v>13700</v>
      </c>
      <c r="M185" t="s">
        <v>567</v>
      </c>
    </row>
    <row r="186" spans="2:13" ht="12.75">
      <c r="B186" s="10" t="s">
        <v>246</v>
      </c>
      <c r="C186" s="10" t="s">
        <v>107</v>
      </c>
      <c r="D186" s="11">
        <v>24600</v>
      </c>
      <c r="F186" s="10" t="s">
        <v>310</v>
      </c>
      <c r="G186" s="10" t="s">
        <v>310</v>
      </c>
      <c r="H186" s="11">
        <v>2628800</v>
      </c>
      <c r="J186" s="10" t="s">
        <v>449</v>
      </c>
      <c r="K186" s="10" t="s">
        <v>143</v>
      </c>
      <c r="L186" s="11">
        <v>8700</v>
      </c>
      <c r="M186" t="s">
        <v>567</v>
      </c>
    </row>
    <row r="187" spans="2:13" ht="12.75">
      <c r="B187" s="10" t="s">
        <v>205</v>
      </c>
      <c r="C187" s="10" t="s">
        <v>206</v>
      </c>
      <c r="D187" s="11">
        <v>24400</v>
      </c>
      <c r="F187" s="10" t="s">
        <v>311</v>
      </c>
      <c r="G187" s="10" t="s">
        <v>119</v>
      </c>
      <c r="H187" s="11">
        <v>25400</v>
      </c>
      <c r="J187" s="10" t="s">
        <v>58</v>
      </c>
      <c r="K187" s="10" t="s">
        <v>109</v>
      </c>
      <c r="L187" s="11">
        <v>262800</v>
      </c>
      <c r="M187" t="s">
        <v>567</v>
      </c>
    </row>
    <row r="188" spans="2:13" ht="12.75">
      <c r="B188" s="10" t="s">
        <v>125</v>
      </c>
      <c r="C188" s="10" t="s">
        <v>114</v>
      </c>
      <c r="D188" s="11">
        <v>24300</v>
      </c>
      <c r="F188" s="10" t="s">
        <v>58</v>
      </c>
      <c r="G188" s="10" t="s">
        <v>109</v>
      </c>
      <c r="H188" s="11">
        <v>262800</v>
      </c>
      <c r="J188" s="10" t="s">
        <v>108</v>
      </c>
      <c r="K188" s="10" t="s">
        <v>109</v>
      </c>
      <c r="L188" s="11">
        <v>96900</v>
      </c>
      <c r="M188" t="s">
        <v>567</v>
      </c>
    </row>
    <row r="189" spans="2:13" ht="12.75">
      <c r="B189" s="8" t="s">
        <v>500</v>
      </c>
      <c r="C189" s="8" t="s">
        <v>111</v>
      </c>
      <c r="D189" s="9">
        <v>24300</v>
      </c>
      <c r="F189" s="10" t="s">
        <v>312</v>
      </c>
      <c r="G189" s="10" t="s">
        <v>111</v>
      </c>
      <c r="H189" s="11">
        <v>36300</v>
      </c>
      <c r="J189" s="8" t="s">
        <v>464</v>
      </c>
      <c r="K189" s="8" t="s">
        <v>109</v>
      </c>
      <c r="L189" s="9">
        <v>57900</v>
      </c>
      <c r="M189" t="s">
        <v>567</v>
      </c>
    </row>
    <row r="190" spans="2:13" ht="12.75">
      <c r="B190" s="10" t="s">
        <v>248</v>
      </c>
      <c r="C190" s="10" t="s">
        <v>109</v>
      </c>
      <c r="D190" s="11">
        <v>24000</v>
      </c>
      <c r="F190" s="10" t="s">
        <v>313</v>
      </c>
      <c r="G190" s="10" t="s">
        <v>107</v>
      </c>
      <c r="H190" s="11">
        <v>31600</v>
      </c>
      <c r="J190" s="10" t="s">
        <v>277</v>
      </c>
      <c r="K190" s="10" t="s">
        <v>109</v>
      </c>
      <c r="L190" s="11">
        <v>30000</v>
      </c>
      <c r="M190" t="s">
        <v>567</v>
      </c>
    </row>
    <row r="191" spans="2:13" ht="12.75">
      <c r="B191" s="10" t="s">
        <v>280</v>
      </c>
      <c r="C191" s="10" t="s">
        <v>146</v>
      </c>
      <c r="D191" s="11">
        <v>23900</v>
      </c>
      <c r="F191" s="10" t="s">
        <v>314</v>
      </c>
      <c r="G191" s="10" t="s">
        <v>192</v>
      </c>
      <c r="H191" s="11">
        <v>7600</v>
      </c>
      <c r="J191" s="10" t="s">
        <v>248</v>
      </c>
      <c r="K191" s="10" t="s">
        <v>109</v>
      </c>
      <c r="L191" s="11">
        <v>24000</v>
      </c>
      <c r="M191" t="s">
        <v>567</v>
      </c>
    </row>
    <row r="192" spans="2:13" ht="12.75">
      <c r="B192" s="10" t="s">
        <v>344</v>
      </c>
      <c r="C192" s="10" t="s">
        <v>157</v>
      </c>
      <c r="D192" s="11">
        <v>23900</v>
      </c>
      <c r="F192" s="10" t="s">
        <v>315</v>
      </c>
      <c r="G192" s="10" t="s">
        <v>214</v>
      </c>
      <c r="H192" s="11">
        <v>11700</v>
      </c>
      <c r="J192" s="8" t="s">
        <v>403</v>
      </c>
      <c r="K192" s="8" t="s">
        <v>109</v>
      </c>
      <c r="L192" s="9">
        <v>20000</v>
      </c>
      <c r="M192" t="s">
        <v>567</v>
      </c>
    </row>
    <row r="193" spans="2:13" ht="12.75">
      <c r="B193" s="8" t="s">
        <v>448</v>
      </c>
      <c r="C193" s="8" t="s">
        <v>119</v>
      </c>
      <c r="D193" s="9">
        <v>23300</v>
      </c>
      <c r="F193" s="10" t="s">
        <v>316</v>
      </c>
      <c r="G193" s="10" t="s">
        <v>161</v>
      </c>
      <c r="H193" s="11">
        <v>69700</v>
      </c>
      <c r="J193" s="10" t="s">
        <v>215</v>
      </c>
      <c r="K193" s="10" t="s">
        <v>109</v>
      </c>
      <c r="L193" s="11">
        <v>15900</v>
      </c>
      <c r="M193" t="s">
        <v>567</v>
      </c>
    </row>
    <row r="194" spans="2:13" ht="12.75">
      <c r="B194" s="10" t="s">
        <v>489</v>
      </c>
      <c r="C194" s="10" t="s">
        <v>111</v>
      </c>
      <c r="D194" s="11">
        <v>23200</v>
      </c>
      <c r="F194" s="10" t="s">
        <v>317</v>
      </c>
      <c r="G194" s="10" t="s">
        <v>132</v>
      </c>
      <c r="H194" s="11">
        <v>19700</v>
      </c>
      <c r="J194" s="8" t="s">
        <v>400</v>
      </c>
      <c r="K194" s="8" t="s">
        <v>109</v>
      </c>
      <c r="L194" s="9">
        <v>14600</v>
      </c>
      <c r="M194" t="s">
        <v>567</v>
      </c>
    </row>
    <row r="195" spans="2:13" ht="12.75">
      <c r="B195" s="10" t="s">
        <v>133</v>
      </c>
      <c r="C195" s="10" t="s">
        <v>119</v>
      </c>
      <c r="D195" s="11">
        <v>23100</v>
      </c>
      <c r="F195" s="10" t="s">
        <v>318</v>
      </c>
      <c r="G195" s="10" t="s">
        <v>119</v>
      </c>
      <c r="H195" s="11">
        <v>11400</v>
      </c>
      <c r="J195" s="10" t="s">
        <v>364</v>
      </c>
      <c r="K195" s="10" t="s">
        <v>109</v>
      </c>
      <c r="L195" s="11">
        <v>14500</v>
      </c>
      <c r="M195" t="s">
        <v>567</v>
      </c>
    </row>
    <row r="196" spans="2:13" ht="12.75">
      <c r="B196" s="10" t="s">
        <v>243</v>
      </c>
      <c r="C196" s="10" t="s">
        <v>153</v>
      </c>
      <c r="D196" s="11">
        <v>23000</v>
      </c>
      <c r="F196" s="10" t="s">
        <v>319</v>
      </c>
      <c r="G196" s="10" t="s">
        <v>135</v>
      </c>
      <c r="H196" s="11">
        <v>28900</v>
      </c>
      <c r="J196" s="10" t="s">
        <v>165</v>
      </c>
      <c r="K196" s="10" t="s">
        <v>109</v>
      </c>
      <c r="L196" s="11">
        <v>12800</v>
      </c>
      <c r="M196" t="s">
        <v>567</v>
      </c>
    </row>
    <row r="197" spans="2:13" ht="12.75">
      <c r="B197" s="10" t="s">
        <v>371</v>
      </c>
      <c r="C197" s="10" t="s">
        <v>132</v>
      </c>
      <c r="D197" s="11">
        <v>22900</v>
      </c>
      <c r="F197" s="10" t="s">
        <v>320</v>
      </c>
      <c r="G197" s="10" t="s">
        <v>172</v>
      </c>
      <c r="H197" s="11">
        <v>66500</v>
      </c>
      <c r="J197" s="8" t="s">
        <v>433</v>
      </c>
      <c r="K197" s="8" t="s">
        <v>109</v>
      </c>
      <c r="L197" s="9">
        <v>11400</v>
      </c>
      <c r="M197" t="s">
        <v>567</v>
      </c>
    </row>
    <row r="198" spans="2:13" ht="12.75">
      <c r="B198" s="10" t="s">
        <v>371</v>
      </c>
      <c r="C198" s="10" t="s">
        <v>132</v>
      </c>
      <c r="D198" s="11">
        <v>22900</v>
      </c>
      <c r="F198" s="10" t="s">
        <v>321</v>
      </c>
      <c r="G198" s="10" t="s">
        <v>146</v>
      </c>
      <c r="H198" s="11">
        <v>3900</v>
      </c>
      <c r="J198" s="10" t="s">
        <v>354</v>
      </c>
      <c r="K198" s="10" t="s">
        <v>111</v>
      </c>
      <c r="L198" s="11">
        <v>136000</v>
      </c>
      <c r="M198" t="s">
        <v>567</v>
      </c>
    </row>
    <row r="199" spans="2:13" ht="12.75">
      <c r="B199" s="10" t="s">
        <v>117</v>
      </c>
      <c r="C199" s="10" t="s">
        <v>107</v>
      </c>
      <c r="D199" s="11">
        <v>22700</v>
      </c>
      <c r="F199" s="10" t="s">
        <v>322</v>
      </c>
      <c r="G199" s="10" t="s">
        <v>214</v>
      </c>
      <c r="H199" s="11">
        <v>53000</v>
      </c>
      <c r="J199" s="10" t="s">
        <v>466</v>
      </c>
      <c r="K199" s="10" t="s">
        <v>111</v>
      </c>
      <c r="L199" s="11">
        <v>131000</v>
      </c>
      <c r="M199" t="s">
        <v>567</v>
      </c>
    </row>
    <row r="200" spans="2:13" ht="12.75">
      <c r="B200" s="10" t="s">
        <v>330</v>
      </c>
      <c r="C200" s="10" t="s">
        <v>189</v>
      </c>
      <c r="D200" s="11">
        <v>22700</v>
      </c>
      <c r="F200" s="10" t="s">
        <v>323</v>
      </c>
      <c r="G200" s="10" t="s">
        <v>132</v>
      </c>
      <c r="H200" s="11">
        <v>15300</v>
      </c>
      <c r="J200" s="10" t="s">
        <v>116</v>
      </c>
      <c r="K200" s="10" t="s">
        <v>111</v>
      </c>
      <c r="L200" s="11">
        <v>122000</v>
      </c>
      <c r="M200" t="s">
        <v>567</v>
      </c>
    </row>
    <row r="201" spans="2:13" ht="12.75">
      <c r="B201" s="8" t="s">
        <v>484</v>
      </c>
      <c r="C201" s="8" t="s">
        <v>146</v>
      </c>
      <c r="D201" s="9">
        <v>22600</v>
      </c>
      <c r="F201" s="10" t="s">
        <v>323</v>
      </c>
      <c r="G201" s="10" t="s">
        <v>107</v>
      </c>
      <c r="H201" s="11">
        <v>13000</v>
      </c>
      <c r="J201" s="10" t="s">
        <v>343</v>
      </c>
      <c r="K201" s="10" t="s">
        <v>111</v>
      </c>
      <c r="L201" s="11">
        <v>99700</v>
      </c>
      <c r="M201" t="s">
        <v>567</v>
      </c>
    </row>
    <row r="202" spans="2:13" ht="12.75">
      <c r="B202" s="8" t="s">
        <v>494</v>
      </c>
      <c r="C202" s="8" t="s">
        <v>146</v>
      </c>
      <c r="D202" s="9">
        <v>22600</v>
      </c>
      <c r="F202" s="10" t="s">
        <v>324</v>
      </c>
      <c r="G202" s="10" t="s">
        <v>130</v>
      </c>
      <c r="H202" s="11">
        <v>97700</v>
      </c>
      <c r="J202" s="10" t="s">
        <v>493</v>
      </c>
      <c r="K202" s="10" t="s">
        <v>111</v>
      </c>
      <c r="L202" s="11">
        <v>99000</v>
      </c>
      <c r="M202" t="s">
        <v>567</v>
      </c>
    </row>
    <row r="203" spans="2:13" ht="12.75">
      <c r="B203" s="10" t="s">
        <v>559</v>
      </c>
      <c r="C203" s="10" t="s">
        <v>143</v>
      </c>
      <c r="D203" s="11">
        <v>22600</v>
      </c>
      <c r="F203" s="10" t="s">
        <v>325</v>
      </c>
      <c r="G203" s="10" t="s">
        <v>107</v>
      </c>
      <c r="H203" s="11">
        <v>100000</v>
      </c>
      <c r="J203" s="10" t="s">
        <v>463</v>
      </c>
      <c r="K203" s="10" t="s">
        <v>111</v>
      </c>
      <c r="L203" s="11">
        <v>83700</v>
      </c>
      <c r="M203" t="s">
        <v>567</v>
      </c>
    </row>
    <row r="204" spans="2:13" ht="12.75">
      <c r="B204" s="10" t="s">
        <v>218</v>
      </c>
      <c r="C204" s="10" t="s">
        <v>163</v>
      </c>
      <c r="D204" s="11">
        <v>22500</v>
      </c>
      <c r="F204" s="10" t="s">
        <v>326</v>
      </c>
      <c r="G204" s="10" t="s">
        <v>157</v>
      </c>
      <c r="H204" s="11">
        <v>7400</v>
      </c>
      <c r="J204" s="8" t="s">
        <v>456</v>
      </c>
      <c r="K204" s="8" t="s">
        <v>111</v>
      </c>
      <c r="L204" s="9">
        <v>74100</v>
      </c>
      <c r="M204" t="s">
        <v>567</v>
      </c>
    </row>
    <row r="205" spans="2:13" ht="12.75">
      <c r="B205" s="10" t="s">
        <v>352</v>
      </c>
      <c r="C205" s="10" t="s">
        <v>135</v>
      </c>
      <c r="D205" s="11">
        <v>22500</v>
      </c>
      <c r="F205" s="10" t="s">
        <v>327</v>
      </c>
      <c r="G205" s="10" t="s">
        <v>255</v>
      </c>
      <c r="H205" s="11">
        <v>9500</v>
      </c>
      <c r="J205" s="10" t="s">
        <v>122</v>
      </c>
      <c r="K205" s="10" t="s">
        <v>111</v>
      </c>
      <c r="L205" s="11">
        <v>72800</v>
      </c>
      <c r="M205" t="s">
        <v>567</v>
      </c>
    </row>
    <row r="206" spans="2:13" ht="12.75">
      <c r="B206" s="8" t="s">
        <v>551</v>
      </c>
      <c r="C206" s="8" t="s">
        <v>189</v>
      </c>
      <c r="D206" s="9">
        <v>22500</v>
      </c>
      <c r="F206" s="10" t="s">
        <v>328</v>
      </c>
      <c r="G206" s="10" t="s">
        <v>121</v>
      </c>
      <c r="H206" s="11">
        <v>67500</v>
      </c>
      <c r="J206" s="8" t="s">
        <v>450</v>
      </c>
      <c r="K206" s="8" t="s">
        <v>111</v>
      </c>
      <c r="L206" s="9">
        <v>58500</v>
      </c>
      <c r="M206" t="s">
        <v>567</v>
      </c>
    </row>
    <row r="207" spans="2:13" ht="12.75">
      <c r="B207" s="10" t="s">
        <v>336</v>
      </c>
      <c r="C207" s="10" t="s">
        <v>206</v>
      </c>
      <c r="D207" s="11">
        <v>22400</v>
      </c>
      <c r="F207" s="10" t="s">
        <v>329</v>
      </c>
      <c r="G207" s="10" t="s">
        <v>121</v>
      </c>
      <c r="H207" s="11">
        <v>27600</v>
      </c>
      <c r="J207" s="10" t="s">
        <v>180</v>
      </c>
      <c r="K207" s="10" t="s">
        <v>111</v>
      </c>
      <c r="L207" s="11">
        <v>56400</v>
      </c>
      <c r="M207" t="s">
        <v>567</v>
      </c>
    </row>
    <row r="208" spans="2:13" ht="12.75">
      <c r="B208" s="10" t="s">
        <v>362</v>
      </c>
      <c r="C208" s="10" t="s">
        <v>132</v>
      </c>
      <c r="D208" s="11">
        <v>22300</v>
      </c>
      <c r="F208" s="10" t="s">
        <v>330</v>
      </c>
      <c r="G208" s="10" t="s">
        <v>189</v>
      </c>
      <c r="H208" s="11">
        <v>22700</v>
      </c>
      <c r="J208" s="10" t="s">
        <v>340</v>
      </c>
      <c r="K208" s="10" t="s">
        <v>111</v>
      </c>
      <c r="L208" s="11">
        <v>49100</v>
      </c>
      <c r="M208" t="s">
        <v>567</v>
      </c>
    </row>
    <row r="209" spans="2:13" ht="12.75">
      <c r="B209" s="10" t="s">
        <v>212</v>
      </c>
      <c r="C209" s="10" t="s">
        <v>143</v>
      </c>
      <c r="D209" s="11">
        <v>22100</v>
      </c>
      <c r="F209" s="10" t="s">
        <v>331</v>
      </c>
      <c r="G209" s="10" t="s">
        <v>138</v>
      </c>
      <c r="H209" s="11">
        <v>14800</v>
      </c>
      <c r="J209" s="10" t="s">
        <v>345</v>
      </c>
      <c r="K209" s="10" t="s">
        <v>111</v>
      </c>
      <c r="L209" s="11">
        <v>25900</v>
      </c>
      <c r="M209" t="s">
        <v>567</v>
      </c>
    </row>
    <row r="210" spans="2:13" ht="12.75">
      <c r="B210" s="10" t="s">
        <v>247</v>
      </c>
      <c r="C210" s="10" t="s">
        <v>172</v>
      </c>
      <c r="D210" s="11">
        <v>22100</v>
      </c>
      <c r="F210" s="10" t="s">
        <v>332</v>
      </c>
      <c r="G210" s="10" t="s">
        <v>172</v>
      </c>
      <c r="H210" s="11">
        <v>9300</v>
      </c>
      <c r="J210" s="10" t="s">
        <v>489</v>
      </c>
      <c r="K210" s="10" t="s">
        <v>111</v>
      </c>
      <c r="L210" s="11">
        <v>23200</v>
      </c>
      <c r="M210" t="s">
        <v>567</v>
      </c>
    </row>
    <row r="211" spans="2:13" ht="12.75">
      <c r="B211" s="10" t="s">
        <v>351</v>
      </c>
      <c r="C211" s="10" t="s">
        <v>107</v>
      </c>
      <c r="D211" s="11">
        <v>22100</v>
      </c>
      <c r="F211" s="10" t="s">
        <v>333</v>
      </c>
      <c r="G211" s="10" t="s">
        <v>255</v>
      </c>
      <c r="H211" s="11">
        <v>32800</v>
      </c>
      <c r="J211" s="8" t="s">
        <v>462</v>
      </c>
      <c r="K211" s="8" t="s">
        <v>111</v>
      </c>
      <c r="L211" s="9">
        <v>20800</v>
      </c>
      <c r="M211" t="s">
        <v>567</v>
      </c>
    </row>
    <row r="212" spans="2:13" ht="12.75">
      <c r="B212" s="8" t="s">
        <v>384</v>
      </c>
      <c r="C212" s="8" t="s">
        <v>172</v>
      </c>
      <c r="D212" s="9">
        <v>22100</v>
      </c>
      <c r="F212" s="10" t="s">
        <v>334</v>
      </c>
      <c r="G212" s="10" t="s">
        <v>119</v>
      </c>
      <c r="H212" s="11">
        <v>41400</v>
      </c>
      <c r="J212" s="8" t="s">
        <v>417</v>
      </c>
      <c r="K212" s="8" t="s">
        <v>111</v>
      </c>
      <c r="L212" s="9">
        <v>46900</v>
      </c>
      <c r="M212" t="s">
        <v>568</v>
      </c>
    </row>
    <row r="213" spans="2:13" ht="12.75">
      <c r="B213" s="8" t="s">
        <v>431</v>
      </c>
      <c r="C213" s="8" t="s">
        <v>153</v>
      </c>
      <c r="D213" s="9">
        <v>22100</v>
      </c>
      <c r="F213" s="10" t="s">
        <v>335</v>
      </c>
      <c r="G213" s="10" t="s">
        <v>107</v>
      </c>
      <c r="H213" s="11">
        <v>194000</v>
      </c>
      <c r="J213" s="10" t="s">
        <v>312</v>
      </c>
      <c r="K213" s="10" t="s">
        <v>111</v>
      </c>
      <c r="L213" s="11">
        <v>36300</v>
      </c>
      <c r="M213" t="s">
        <v>568</v>
      </c>
    </row>
    <row r="214" spans="2:13" ht="12.75">
      <c r="B214" s="8" t="s">
        <v>472</v>
      </c>
      <c r="C214" s="8" t="s">
        <v>163</v>
      </c>
      <c r="D214" s="9">
        <v>22000</v>
      </c>
      <c r="F214" s="10" t="s">
        <v>336</v>
      </c>
      <c r="G214" s="10" t="s">
        <v>206</v>
      </c>
      <c r="H214" s="11">
        <v>22400</v>
      </c>
      <c r="J214" s="10" t="s">
        <v>376</v>
      </c>
      <c r="K214" s="10" t="s">
        <v>111</v>
      </c>
      <c r="L214" s="11">
        <v>28900</v>
      </c>
      <c r="M214" t="s">
        <v>568</v>
      </c>
    </row>
    <row r="215" spans="2:13" ht="12.75">
      <c r="B215" s="10" t="s">
        <v>339</v>
      </c>
      <c r="C215" s="10" t="s">
        <v>132</v>
      </c>
      <c r="D215" s="11">
        <v>21900</v>
      </c>
      <c r="F215" s="10" t="s">
        <v>337</v>
      </c>
      <c r="G215" s="10" t="s">
        <v>107</v>
      </c>
      <c r="H215" s="11">
        <v>73300</v>
      </c>
      <c r="J215" s="10" t="s">
        <v>419</v>
      </c>
      <c r="K215" s="10" t="s">
        <v>111</v>
      </c>
      <c r="L215" s="11">
        <v>27700</v>
      </c>
      <c r="M215" t="s">
        <v>568</v>
      </c>
    </row>
    <row r="216" spans="2:13" ht="12.75">
      <c r="B216" s="10" t="s">
        <v>271</v>
      </c>
      <c r="C216" s="10" t="s">
        <v>189</v>
      </c>
      <c r="D216" s="11">
        <v>21800</v>
      </c>
      <c r="F216" s="10" t="s">
        <v>338</v>
      </c>
      <c r="G216" s="10" t="s">
        <v>107</v>
      </c>
      <c r="H216" s="11">
        <v>16900</v>
      </c>
      <c r="J216" s="10" t="s">
        <v>434</v>
      </c>
      <c r="K216" s="10" t="s">
        <v>111</v>
      </c>
      <c r="L216" s="11">
        <v>26700</v>
      </c>
      <c r="M216" t="s">
        <v>570</v>
      </c>
    </row>
    <row r="217" spans="2:13" ht="12.75">
      <c r="B217" s="10" t="s">
        <v>137</v>
      </c>
      <c r="C217" s="10" t="s">
        <v>138</v>
      </c>
      <c r="D217" s="11">
        <v>21600</v>
      </c>
      <c r="F217" s="10" t="s">
        <v>339</v>
      </c>
      <c r="G217" s="10" t="s">
        <v>132</v>
      </c>
      <c r="H217" s="11">
        <v>21900</v>
      </c>
      <c r="J217" s="8" t="s">
        <v>500</v>
      </c>
      <c r="K217" s="8" t="s">
        <v>111</v>
      </c>
      <c r="L217" s="9">
        <v>24300</v>
      </c>
      <c r="M217" t="s">
        <v>568</v>
      </c>
    </row>
    <row r="218" spans="2:13" ht="12.75">
      <c r="B218" s="10" t="s">
        <v>282</v>
      </c>
      <c r="C218" s="10" t="s">
        <v>107</v>
      </c>
      <c r="D218" s="11">
        <v>21500</v>
      </c>
      <c r="F218" s="10" t="s">
        <v>340</v>
      </c>
      <c r="G218" s="10" t="s">
        <v>111</v>
      </c>
      <c r="H218" s="11">
        <v>49100</v>
      </c>
      <c r="J218" s="10" t="s">
        <v>278</v>
      </c>
      <c r="K218" s="10" t="s">
        <v>111</v>
      </c>
      <c r="L218" s="11">
        <v>20000</v>
      </c>
      <c r="M218" t="s">
        <v>568</v>
      </c>
    </row>
    <row r="219" spans="2:13" ht="12.75">
      <c r="B219" s="10" t="s">
        <v>298</v>
      </c>
      <c r="C219" s="10" t="s">
        <v>135</v>
      </c>
      <c r="D219" s="11">
        <v>20800</v>
      </c>
      <c r="F219" s="10" t="s">
        <v>341</v>
      </c>
      <c r="G219" s="10" t="s">
        <v>114</v>
      </c>
      <c r="H219" s="11">
        <v>31500</v>
      </c>
      <c r="J219" s="10" t="s">
        <v>539</v>
      </c>
      <c r="K219" s="10" t="s">
        <v>111</v>
      </c>
      <c r="L219" s="11">
        <v>18900</v>
      </c>
      <c r="M219" t="s">
        <v>568</v>
      </c>
    </row>
    <row r="220" spans="2:13" ht="12.75">
      <c r="B220" s="8" t="s">
        <v>462</v>
      </c>
      <c r="C220" s="8" t="s">
        <v>111</v>
      </c>
      <c r="D220" s="9">
        <v>20800</v>
      </c>
      <c r="F220" s="10" t="s">
        <v>342</v>
      </c>
      <c r="G220" s="10" t="s">
        <v>107</v>
      </c>
      <c r="H220" s="11">
        <v>28300</v>
      </c>
      <c r="J220" s="10" t="s">
        <v>358</v>
      </c>
      <c r="K220" s="10" t="s">
        <v>111</v>
      </c>
      <c r="L220" s="11">
        <v>18100</v>
      </c>
      <c r="M220" t="s">
        <v>568</v>
      </c>
    </row>
    <row r="221" spans="2:13" ht="12.75">
      <c r="B221" s="10" t="s">
        <v>412</v>
      </c>
      <c r="C221" s="10" t="s">
        <v>153</v>
      </c>
      <c r="D221" s="11">
        <v>20600</v>
      </c>
      <c r="F221" s="10" t="s">
        <v>343</v>
      </c>
      <c r="G221" s="10" t="s">
        <v>111</v>
      </c>
      <c r="H221" s="11">
        <v>99700</v>
      </c>
      <c r="J221" s="8" t="s">
        <v>507</v>
      </c>
      <c r="K221" s="8" t="s">
        <v>111</v>
      </c>
      <c r="L221" s="9">
        <v>15900</v>
      </c>
      <c r="M221" t="s">
        <v>568</v>
      </c>
    </row>
    <row r="222" spans="2:13" ht="12.75">
      <c r="B222" s="10" t="s">
        <v>441</v>
      </c>
      <c r="C222" s="10" t="s">
        <v>124</v>
      </c>
      <c r="D222" s="11">
        <v>20200</v>
      </c>
      <c r="F222" s="10" t="s">
        <v>344</v>
      </c>
      <c r="G222" s="10" t="s">
        <v>157</v>
      </c>
      <c r="H222" s="11">
        <v>23900</v>
      </c>
      <c r="J222" s="10" t="s">
        <v>190</v>
      </c>
      <c r="K222" s="10" t="s">
        <v>111</v>
      </c>
      <c r="L222" s="11">
        <v>15400</v>
      </c>
      <c r="M222" t="s">
        <v>568</v>
      </c>
    </row>
    <row r="223" spans="2:13" ht="12.75">
      <c r="B223" s="10" t="s">
        <v>278</v>
      </c>
      <c r="C223" s="10" t="s">
        <v>111</v>
      </c>
      <c r="D223" s="11">
        <v>20000</v>
      </c>
      <c r="F223" s="10" t="s">
        <v>345</v>
      </c>
      <c r="G223" s="10" t="s">
        <v>111</v>
      </c>
      <c r="H223" s="11">
        <v>25900</v>
      </c>
      <c r="J223" s="10" t="s">
        <v>424</v>
      </c>
      <c r="K223" s="10" t="s">
        <v>111</v>
      </c>
      <c r="L223" s="11">
        <v>14600</v>
      </c>
      <c r="M223" t="s">
        <v>568</v>
      </c>
    </row>
    <row r="224" spans="2:13" ht="12.75">
      <c r="B224" s="10" t="s">
        <v>287</v>
      </c>
      <c r="C224" s="10" t="s">
        <v>107</v>
      </c>
      <c r="D224" s="11">
        <v>20000</v>
      </c>
      <c r="F224" s="10" t="s">
        <v>346</v>
      </c>
      <c r="G224" s="10" t="s">
        <v>214</v>
      </c>
      <c r="H224" s="11">
        <v>232407</v>
      </c>
      <c r="J224" s="10" t="s">
        <v>502</v>
      </c>
      <c r="K224" s="10" t="s">
        <v>111</v>
      </c>
      <c r="L224" s="11">
        <v>13600</v>
      </c>
      <c r="M224" t="s">
        <v>568</v>
      </c>
    </row>
    <row r="225" spans="2:13" ht="12.75">
      <c r="B225" s="8" t="s">
        <v>403</v>
      </c>
      <c r="C225" s="8" t="s">
        <v>109</v>
      </c>
      <c r="D225" s="9">
        <v>20000</v>
      </c>
      <c r="F225" s="10" t="s">
        <v>347</v>
      </c>
      <c r="G225" s="10" t="s">
        <v>124</v>
      </c>
      <c r="H225" s="11">
        <v>703000</v>
      </c>
      <c r="J225" s="10" t="s">
        <v>232</v>
      </c>
      <c r="K225" s="10" t="s">
        <v>111</v>
      </c>
      <c r="L225" s="11">
        <v>12100</v>
      </c>
      <c r="M225" t="s">
        <v>568</v>
      </c>
    </row>
    <row r="226" spans="2:13" ht="12.75">
      <c r="B226" s="8" t="s">
        <v>423</v>
      </c>
      <c r="C226" s="8" t="s">
        <v>132</v>
      </c>
      <c r="D226" s="9">
        <v>19900</v>
      </c>
      <c r="F226" s="10" t="s">
        <v>348</v>
      </c>
      <c r="G226" s="10" t="s">
        <v>130</v>
      </c>
      <c r="H226" s="11">
        <v>26200</v>
      </c>
      <c r="J226" s="10" t="s">
        <v>275</v>
      </c>
      <c r="K226" s="10" t="s">
        <v>111</v>
      </c>
      <c r="L226" s="11">
        <v>11700</v>
      </c>
      <c r="M226" t="s">
        <v>568</v>
      </c>
    </row>
    <row r="227" spans="2:13" ht="12.75">
      <c r="B227" s="10" t="s">
        <v>317</v>
      </c>
      <c r="C227" s="10" t="s">
        <v>132</v>
      </c>
      <c r="D227" s="11">
        <v>19700</v>
      </c>
      <c r="F227" s="10" t="s">
        <v>349</v>
      </c>
      <c r="G227" s="10" t="s">
        <v>255</v>
      </c>
      <c r="H227" s="11">
        <v>40200</v>
      </c>
      <c r="J227" s="10" t="s">
        <v>436</v>
      </c>
      <c r="K227" s="10" t="s">
        <v>111</v>
      </c>
      <c r="L227" s="11">
        <v>10300</v>
      </c>
      <c r="M227" t="s">
        <v>568</v>
      </c>
    </row>
    <row r="228" spans="2:13" ht="12.75">
      <c r="B228" s="10" t="s">
        <v>207</v>
      </c>
      <c r="C228" s="10" t="s">
        <v>132</v>
      </c>
      <c r="D228" s="11">
        <v>19600</v>
      </c>
      <c r="F228" s="10" t="s">
        <v>350</v>
      </c>
      <c r="G228" s="10" t="s">
        <v>132</v>
      </c>
      <c r="H228" s="11">
        <v>30900</v>
      </c>
      <c r="J228" s="8" t="s">
        <v>399</v>
      </c>
      <c r="K228" s="8" t="s">
        <v>111</v>
      </c>
      <c r="L228" s="9">
        <v>9900</v>
      </c>
      <c r="M228" t="s">
        <v>568</v>
      </c>
    </row>
    <row r="229" spans="2:13" ht="12.75">
      <c r="B229" s="10" t="s">
        <v>306</v>
      </c>
      <c r="C229" s="10" t="s">
        <v>214</v>
      </c>
      <c r="D229" s="11">
        <v>19600</v>
      </c>
      <c r="F229" s="10" t="s">
        <v>351</v>
      </c>
      <c r="G229" s="10" t="s">
        <v>107</v>
      </c>
      <c r="H229" s="11">
        <v>22100</v>
      </c>
      <c r="J229" s="10" t="s">
        <v>127</v>
      </c>
      <c r="K229" s="10" t="s">
        <v>111</v>
      </c>
      <c r="L229" s="11">
        <v>9800</v>
      </c>
      <c r="M229" t="s">
        <v>568</v>
      </c>
    </row>
    <row r="230" spans="2:13" ht="12.75">
      <c r="B230" s="8" t="s">
        <v>429</v>
      </c>
      <c r="C230" s="8" t="s">
        <v>124</v>
      </c>
      <c r="D230" s="9">
        <v>19500</v>
      </c>
      <c r="F230" s="10" t="s">
        <v>352</v>
      </c>
      <c r="G230" s="10" t="s">
        <v>135</v>
      </c>
      <c r="H230" s="11">
        <v>22500</v>
      </c>
      <c r="J230" s="10" t="s">
        <v>281</v>
      </c>
      <c r="K230" s="10" t="s">
        <v>111</v>
      </c>
      <c r="L230" s="11">
        <v>8800</v>
      </c>
      <c r="M230" t="s">
        <v>568</v>
      </c>
    </row>
    <row r="231" spans="2:13" ht="12.75">
      <c r="B231" s="8" t="s">
        <v>446</v>
      </c>
      <c r="C231" s="8" t="s">
        <v>119</v>
      </c>
      <c r="D231" s="9">
        <v>19500</v>
      </c>
      <c r="F231" s="10" t="s">
        <v>353</v>
      </c>
      <c r="G231" s="10" t="s">
        <v>130</v>
      </c>
      <c r="H231" s="11">
        <v>31500</v>
      </c>
      <c r="J231" s="10" t="s">
        <v>110</v>
      </c>
      <c r="K231" s="10" t="s">
        <v>111</v>
      </c>
      <c r="L231" s="11">
        <v>7300</v>
      </c>
      <c r="M231" t="s">
        <v>568</v>
      </c>
    </row>
    <row r="232" spans="2:13" ht="12.75">
      <c r="B232" s="10" t="s">
        <v>188</v>
      </c>
      <c r="C232" s="10" t="s">
        <v>189</v>
      </c>
      <c r="D232" s="11">
        <v>19300</v>
      </c>
      <c r="F232" s="10" t="s">
        <v>354</v>
      </c>
      <c r="G232" s="10" t="s">
        <v>111</v>
      </c>
      <c r="H232" s="11">
        <v>136000</v>
      </c>
      <c r="J232" s="10" t="s">
        <v>374</v>
      </c>
      <c r="K232" s="10" t="s">
        <v>111</v>
      </c>
      <c r="L232" s="11">
        <v>6400</v>
      </c>
      <c r="M232" t="s">
        <v>568</v>
      </c>
    </row>
    <row r="233" spans="2:13" ht="12.75">
      <c r="B233" s="10" t="s">
        <v>149</v>
      </c>
      <c r="C233" s="10" t="s">
        <v>107</v>
      </c>
      <c r="D233" s="11">
        <v>19200</v>
      </c>
      <c r="F233" s="10" t="s">
        <v>355</v>
      </c>
      <c r="G233" s="10" t="s">
        <v>132</v>
      </c>
      <c r="H233" s="11">
        <v>60900</v>
      </c>
      <c r="J233" s="10" t="s">
        <v>112</v>
      </c>
      <c r="K233" s="10" t="s">
        <v>111</v>
      </c>
      <c r="L233" s="11">
        <v>5500</v>
      </c>
      <c r="M233" t="s">
        <v>568</v>
      </c>
    </row>
    <row r="234" spans="2:13" ht="12.75">
      <c r="B234" s="8" t="s">
        <v>440</v>
      </c>
      <c r="C234" s="8" t="s">
        <v>130</v>
      </c>
      <c r="D234" s="9">
        <v>19200</v>
      </c>
      <c r="F234" s="10" t="s">
        <v>356</v>
      </c>
      <c r="G234" s="10" t="s">
        <v>214</v>
      </c>
      <c r="H234" s="11">
        <v>13500</v>
      </c>
      <c r="J234" s="10" t="s">
        <v>360</v>
      </c>
      <c r="K234" s="10" t="s">
        <v>146</v>
      </c>
      <c r="L234" s="11">
        <v>788000</v>
      </c>
      <c r="M234" t="s">
        <v>567</v>
      </c>
    </row>
    <row r="235" spans="2:13" ht="12.75">
      <c r="B235" s="10" t="s">
        <v>128</v>
      </c>
      <c r="C235" s="10" t="s">
        <v>119</v>
      </c>
      <c r="D235" s="11">
        <v>19100</v>
      </c>
      <c r="F235" s="10" t="s">
        <v>357</v>
      </c>
      <c r="G235" s="10" t="s">
        <v>214</v>
      </c>
      <c r="H235" s="11">
        <v>60300</v>
      </c>
      <c r="J235" s="10" t="s">
        <v>250</v>
      </c>
      <c r="K235" s="10" t="s">
        <v>146</v>
      </c>
      <c r="L235" s="11">
        <v>79200</v>
      </c>
      <c r="M235" t="s">
        <v>567</v>
      </c>
    </row>
    <row r="236" spans="2:13" ht="12.75">
      <c r="B236" s="10" t="s">
        <v>237</v>
      </c>
      <c r="C236" s="10" t="s">
        <v>132</v>
      </c>
      <c r="D236" s="11">
        <v>19000</v>
      </c>
      <c r="F236" s="10" t="s">
        <v>358</v>
      </c>
      <c r="G236" s="10" t="s">
        <v>111</v>
      </c>
      <c r="H236" s="11">
        <v>18100</v>
      </c>
      <c r="J236" s="10" t="s">
        <v>537</v>
      </c>
      <c r="K236" s="10" t="s">
        <v>146</v>
      </c>
      <c r="L236" s="11">
        <v>74000</v>
      </c>
      <c r="M236" t="s">
        <v>567</v>
      </c>
    </row>
    <row r="237" spans="2:13" ht="12.75">
      <c r="B237" s="10" t="s">
        <v>257</v>
      </c>
      <c r="C237" s="10" t="s">
        <v>206</v>
      </c>
      <c r="D237" s="11">
        <v>18900</v>
      </c>
      <c r="F237" s="10" t="s">
        <v>359</v>
      </c>
      <c r="G237" s="10" t="s">
        <v>161</v>
      </c>
      <c r="H237" s="11">
        <v>218000</v>
      </c>
      <c r="J237" s="8" t="s">
        <v>496</v>
      </c>
      <c r="K237" s="8" t="s">
        <v>146</v>
      </c>
      <c r="L237" s="9">
        <v>68200</v>
      </c>
      <c r="M237" t="s">
        <v>567</v>
      </c>
    </row>
    <row r="238" spans="2:13" ht="12.75">
      <c r="B238" s="10" t="s">
        <v>539</v>
      </c>
      <c r="C238" s="10" t="s">
        <v>111</v>
      </c>
      <c r="D238" s="11">
        <v>18900</v>
      </c>
      <c r="F238" s="10" t="s">
        <v>361</v>
      </c>
      <c r="G238" s="10" t="s">
        <v>161</v>
      </c>
      <c r="H238" s="11">
        <v>10200</v>
      </c>
      <c r="J238" s="10" t="s">
        <v>174</v>
      </c>
      <c r="K238" s="10" t="s">
        <v>146</v>
      </c>
      <c r="L238" s="11">
        <v>40400</v>
      </c>
      <c r="M238" t="s">
        <v>567</v>
      </c>
    </row>
    <row r="239" spans="2:13" ht="12.75">
      <c r="B239" s="10" t="s">
        <v>150</v>
      </c>
      <c r="C239" s="10" t="s">
        <v>130</v>
      </c>
      <c r="D239" s="11">
        <v>18800</v>
      </c>
      <c r="F239" s="10" t="s">
        <v>362</v>
      </c>
      <c r="G239" s="10" t="s">
        <v>132</v>
      </c>
      <c r="H239" s="11">
        <v>22300</v>
      </c>
      <c r="J239" s="10" t="s">
        <v>459</v>
      </c>
      <c r="K239" s="10" t="s">
        <v>146</v>
      </c>
      <c r="L239" s="11">
        <v>39900</v>
      </c>
      <c r="M239" t="s">
        <v>567</v>
      </c>
    </row>
    <row r="240" spans="2:13" ht="12.75">
      <c r="B240" s="10" t="s">
        <v>169</v>
      </c>
      <c r="C240" s="10" t="s">
        <v>143</v>
      </c>
      <c r="D240" s="11">
        <v>18800</v>
      </c>
      <c r="F240" s="10" t="s">
        <v>360</v>
      </c>
      <c r="G240" s="10" t="s">
        <v>146</v>
      </c>
      <c r="H240" s="11">
        <v>788000</v>
      </c>
      <c r="J240" s="10" t="s">
        <v>518</v>
      </c>
      <c r="K240" s="10" t="s">
        <v>146</v>
      </c>
      <c r="L240" s="11">
        <v>34200</v>
      </c>
      <c r="M240" t="s">
        <v>567</v>
      </c>
    </row>
    <row r="241" spans="2:13" ht="12.75">
      <c r="B241" s="10" t="s">
        <v>230</v>
      </c>
      <c r="C241" s="10" t="s">
        <v>206</v>
      </c>
      <c r="D241" s="11">
        <v>18800</v>
      </c>
      <c r="F241" s="10" t="s">
        <v>363</v>
      </c>
      <c r="G241" s="10" t="s">
        <v>107</v>
      </c>
      <c r="H241" s="11">
        <v>384000</v>
      </c>
      <c r="J241" s="10" t="s">
        <v>404</v>
      </c>
      <c r="K241" s="10" t="s">
        <v>146</v>
      </c>
      <c r="L241" s="11">
        <v>27200</v>
      </c>
      <c r="M241" t="s">
        <v>567</v>
      </c>
    </row>
    <row r="242" spans="2:13" ht="12.75">
      <c r="B242" s="10" t="s">
        <v>409</v>
      </c>
      <c r="C242" s="10" t="s">
        <v>121</v>
      </c>
      <c r="D242" s="11">
        <v>18700</v>
      </c>
      <c r="F242" s="10" t="s">
        <v>364</v>
      </c>
      <c r="G242" s="10" t="s">
        <v>109</v>
      </c>
      <c r="H242" s="11">
        <v>14500</v>
      </c>
      <c r="J242" s="10" t="s">
        <v>179</v>
      </c>
      <c r="K242" s="10" t="s">
        <v>146</v>
      </c>
      <c r="L242" s="11">
        <v>24600</v>
      </c>
      <c r="M242" t="s">
        <v>567</v>
      </c>
    </row>
    <row r="243" spans="2:13" ht="12.75">
      <c r="B243" s="8" t="s">
        <v>474</v>
      </c>
      <c r="C243" s="8" t="s">
        <v>143</v>
      </c>
      <c r="D243" s="9">
        <v>18700</v>
      </c>
      <c r="F243" s="10" t="s">
        <v>365</v>
      </c>
      <c r="G243" s="10" t="s">
        <v>121</v>
      </c>
      <c r="H243" s="11">
        <v>29800</v>
      </c>
      <c r="J243" s="10" t="s">
        <v>280</v>
      </c>
      <c r="K243" s="10" t="s">
        <v>146</v>
      </c>
      <c r="L243" s="11">
        <v>23900</v>
      </c>
      <c r="M243" t="s">
        <v>567</v>
      </c>
    </row>
    <row r="244" spans="2:13" ht="12.75">
      <c r="B244" s="8" t="s">
        <v>557</v>
      </c>
      <c r="C244" s="8" t="s">
        <v>107</v>
      </c>
      <c r="D244" s="9">
        <v>18700</v>
      </c>
      <c r="F244" s="10" t="s">
        <v>366</v>
      </c>
      <c r="G244" s="10" t="s">
        <v>124</v>
      </c>
      <c r="H244" s="11">
        <v>54700</v>
      </c>
      <c r="J244" s="8" t="s">
        <v>484</v>
      </c>
      <c r="K244" s="8" t="s">
        <v>146</v>
      </c>
      <c r="L244" s="9">
        <v>22600</v>
      </c>
      <c r="M244" t="s">
        <v>567</v>
      </c>
    </row>
    <row r="245" spans="2:13" ht="12.75">
      <c r="B245" s="10" t="s">
        <v>134</v>
      </c>
      <c r="C245" s="10" t="s">
        <v>135</v>
      </c>
      <c r="D245" s="11">
        <v>18600</v>
      </c>
      <c r="F245" s="10" t="s">
        <v>367</v>
      </c>
      <c r="G245" s="10" t="s">
        <v>107</v>
      </c>
      <c r="H245" s="11">
        <v>490000</v>
      </c>
      <c r="J245" s="8" t="s">
        <v>494</v>
      </c>
      <c r="K245" s="8" t="s">
        <v>146</v>
      </c>
      <c r="L245" s="9">
        <v>22600</v>
      </c>
      <c r="M245" t="s">
        <v>567</v>
      </c>
    </row>
    <row r="246" spans="2:13" ht="12.75">
      <c r="B246" s="10" t="s">
        <v>194</v>
      </c>
      <c r="C246" s="10" t="s">
        <v>124</v>
      </c>
      <c r="D246" s="11">
        <v>18600</v>
      </c>
      <c r="F246" s="10" t="s">
        <v>368</v>
      </c>
      <c r="G246" s="10" t="s">
        <v>107</v>
      </c>
      <c r="H246" s="11">
        <v>10800</v>
      </c>
      <c r="J246" s="10" t="s">
        <v>230</v>
      </c>
      <c r="K246" s="10" t="s">
        <v>146</v>
      </c>
      <c r="L246" s="11">
        <v>17900</v>
      </c>
      <c r="M246" t="s">
        <v>567</v>
      </c>
    </row>
    <row r="247" spans="2:13" ht="12.75">
      <c r="B247" s="10" t="s">
        <v>234</v>
      </c>
      <c r="C247" s="10" t="s">
        <v>153</v>
      </c>
      <c r="D247" s="11">
        <v>18600</v>
      </c>
      <c r="F247" s="10" t="s">
        <v>369</v>
      </c>
      <c r="G247" s="10" t="s">
        <v>153</v>
      </c>
      <c r="H247" s="11">
        <v>173000</v>
      </c>
      <c r="J247" s="8" t="s">
        <v>388</v>
      </c>
      <c r="K247" s="8" t="s">
        <v>146</v>
      </c>
      <c r="L247" s="9">
        <v>15300</v>
      </c>
      <c r="M247" t="s">
        <v>567</v>
      </c>
    </row>
    <row r="248" spans="2:13" ht="12.75">
      <c r="B248" s="10" t="s">
        <v>461</v>
      </c>
      <c r="C248" s="10" t="s">
        <v>155</v>
      </c>
      <c r="D248" s="11">
        <v>18600</v>
      </c>
      <c r="F248" s="10" t="s">
        <v>370</v>
      </c>
      <c r="G248" s="10" t="s">
        <v>138</v>
      </c>
      <c r="H248" s="11">
        <v>13100</v>
      </c>
      <c r="J248" s="8" t="s">
        <v>558</v>
      </c>
      <c r="K248" s="8" t="s">
        <v>146</v>
      </c>
      <c r="L248" s="9">
        <v>14100</v>
      </c>
      <c r="M248" t="s">
        <v>567</v>
      </c>
    </row>
    <row r="249" spans="2:13" ht="12.75">
      <c r="B249" s="10" t="s">
        <v>497</v>
      </c>
      <c r="C249" s="10" t="s">
        <v>114</v>
      </c>
      <c r="D249" s="11">
        <v>18600</v>
      </c>
      <c r="F249" s="10" t="s">
        <v>371</v>
      </c>
      <c r="G249" s="10" t="s">
        <v>132</v>
      </c>
      <c r="H249" s="11">
        <v>22900</v>
      </c>
      <c r="J249" s="10" t="s">
        <v>198</v>
      </c>
      <c r="K249" s="10" t="s">
        <v>146</v>
      </c>
      <c r="L249" s="11">
        <v>12800</v>
      </c>
      <c r="M249" t="s">
        <v>567</v>
      </c>
    </row>
    <row r="250" spans="2:13" ht="12.75">
      <c r="B250" s="10" t="s">
        <v>397</v>
      </c>
      <c r="C250" s="10" t="s">
        <v>107</v>
      </c>
      <c r="D250" s="11">
        <v>18500</v>
      </c>
      <c r="F250" s="10" t="s">
        <v>371</v>
      </c>
      <c r="G250" s="10" t="s">
        <v>132</v>
      </c>
      <c r="H250" s="11">
        <v>22900</v>
      </c>
      <c r="J250" s="8" t="s">
        <v>529</v>
      </c>
      <c r="K250" s="8" t="s">
        <v>146</v>
      </c>
      <c r="L250" s="9">
        <v>12700</v>
      </c>
      <c r="M250" t="s">
        <v>567</v>
      </c>
    </row>
    <row r="251" spans="2:13" ht="12.75">
      <c r="B251" s="10" t="s">
        <v>415</v>
      </c>
      <c r="C251" s="10" t="s">
        <v>141</v>
      </c>
      <c r="D251" s="11">
        <v>18400</v>
      </c>
      <c r="F251" s="10" t="s">
        <v>372</v>
      </c>
      <c r="G251" s="10" t="s">
        <v>214</v>
      </c>
      <c r="H251" s="11">
        <v>46600</v>
      </c>
      <c r="J251" s="10" t="s">
        <v>263</v>
      </c>
      <c r="K251" s="10" t="s">
        <v>146</v>
      </c>
      <c r="L251" s="11">
        <v>11600</v>
      </c>
      <c r="M251" t="s">
        <v>567</v>
      </c>
    </row>
    <row r="252" spans="2:13" ht="12.75">
      <c r="B252" s="10" t="s">
        <v>286</v>
      </c>
      <c r="C252" s="10" t="s">
        <v>206</v>
      </c>
      <c r="D252" s="11">
        <v>18300</v>
      </c>
      <c r="F252" s="10" t="s">
        <v>373</v>
      </c>
      <c r="G252" s="10" t="s">
        <v>143</v>
      </c>
      <c r="H252" s="11">
        <v>15900</v>
      </c>
      <c r="J252" s="10" t="s">
        <v>302</v>
      </c>
      <c r="K252" s="10" t="s">
        <v>146</v>
      </c>
      <c r="L252" s="11">
        <v>11200</v>
      </c>
      <c r="M252" t="s">
        <v>567</v>
      </c>
    </row>
    <row r="253" spans="2:13" ht="12.75">
      <c r="B253" s="10" t="s">
        <v>156</v>
      </c>
      <c r="C253" s="10" t="s">
        <v>157</v>
      </c>
      <c r="D253" s="11">
        <v>18100</v>
      </c>
      <c r="F253" s="10" t="s">
        <v>374</v>
      </c>
      <c r="G253" s="10" t="s">
        <v>111</v>
      </c>
      <c r="H253" s="11">
        <v>6400</v>
      </c>
      <c r="J253" s="8" t="s">
        <v>439</v>
      </c>
      <c r="K253" s="8" t="s">
        <v>146</v>
      </c>
      <c r="L253" s="9">
        <v>10200</v>
      </c>
      <c r="M253" t="s">
        <v>567</v>
      </c>
    </row>
    <row r="254" spans="2:13" ht="12.75">
      <c r="B254" s="10" t="s">
        <v>358</v>
      </c>
      <c r="C254" s="10" t="s">
        <v>111</v>
      </c>
      <c r="D254" s="11">
        <v>18100</v>
      </c>
      <c r="F254" s="8" t="s">
        <v>375</v>
      </c>
      <c r="G254" s="8" t="s">
        <v>135</v>
      </c>
      <c r="H254" s="9">
        <v>36000</v>
      </c>
      <c r="J254" s="10" t="s">
        <v>380</v>
      </c>
      <c r="K254" s="10" t="s">
        <v>146</v>
      </c>
      <c r="L254" s="11">
        <v>9500</v>
      </c>
      <c r="M254" t="s">
        <v>567</v>
      </c>
    </row>
    <row r="255" spans="2:13" ht="12.75">
      <c r="B255" s="10" t="s">
        <v>405</v>
      </c>
      <c r="C255" s="10" t="s">
        <v>141</v>
      </c>
      <c r="D255" s="11">
        <v>18100</v>
      </c>
      <c r="F255" s="10" t="s">
        <v>376</v>
      </c>
      <c r="G255" s="10" t="s">
        <v>111</v>
      </c>
      <c r="H255" s="11">
        <v>28900</v>
      </c>
      <c r="J255" s="8" t="s">
        <v>442</v>
      </c>
      <c r="K255" s="8" t="s">
        <v>146</v>
      </c>
      <c r="L255" s="9">
        <v>9400</v>
      </c>
      <c r="M255" t="s">
        <v>567</v>
      </c>
    </row>
    <row r="256" spans="2:13" ht="12.75">
      <c r="B256" s="10" t="s">
        <v>230</v>
      </c>
      <c r="C256" s="10" t="s">
        <v>146</v>
      </c>
      <c r="D256" s="11">
        <v>17900</v>
      </c>
      <c r="F256" s="8" t="s">
        <v>377</v>
      </c>
      <c r="G256" s="8" t="s">
        <v>153</v>
      </c>
      <c r="H256" s="9">
        <v>8500</v>
      </c>
      <c r="J256" s="10" t="s">
        <v>443</v>
      </c>
      <c r="K256" s="10" t="s">
        <v>146</v>
      </c>
      <c r="L256" s="11">
        <v>9300</v>
      </c>
      <c r="M256" t="s">
        <v>567</v>
      </c>
    </row>
    <row r="257" spans="2:13" ht="12.75">
      <c r="B257" s="8" t="s">
        <v>426</v>
      </c>
      <c r="C257" s="8" t="s">
        <v>214</v>
      </c>
      <c r="D257" s="9">
        <v>17900</v>
      </c>
      <c r="F257" s="10" t="s">
        <v>378</v>
      </c>
      <c r="G257" s="10" t="s">
        <v>157</v>
      </c>
      <c r="H257" s="11">
        <v>6900</v>
      </c>
      <c r="J257" s="10" t="s">
        <v>253</v>
      </c>
      <c r="K257" s="10" t="s">
        <v>146</v>
      </c>
      <c r="L257" s="11">
        <v>9000</v>
      </c>
      <c r="M257" t="s">
        <v>567</v>
      </c>
    </row>
    <row r="258" spans="2:13" ht="12.75">
      <c r="B258" s="8" t="s">
        <v>536</v>
      </c>
      <c r="C258" s="8" t="s">
        <v>107</v>
      </c>
      <c r="D258" s="9">
        <v>17600</v>
      </c>
      <c r="F258" s="10" t="s">
        <v>379</v>
      </c>
      <c r="G258" s="10" t="s">
        <v>189</v>
      </c>
      <c r="H258" s="11">
        <v>9500</v>
      </c>
      <c r="J258" s="10" t="s">
        <v>382</v>
      </c>
      <c r="K258" s="10" t="s">
        <v>146</v>
      </c>
      <c r="L258" s="11">
        <v>8600</v>
      </c>
      <c r="M258" t="s">
        <v>567</v>
      </c>
    </row>
    <row r="259" spans="2:13" ht="12.75">
      <c r="B259" s="10" t="s">
        <v>123</v>
      </c>
      <c r="C259" s="10" t="s">
        <v>124</v>
      </c>
      <c r="D259" s="11">
        <v>17500</v>
      </c>
      <c r="F259" s="10" t="s">
        <v>380</v>
      </c>
      <c r="G259" s="10" t="s">
        <v>146</v>
      </c>
      <c r="H259" s="11">
        <v>9500</v>
      </c>
      <c r="J259" s="10" t="s">
        <v>183</v>
      </c>
      <c r="K259" s="10" t="s">
        <v>146</v>
      </c>
      <c r="L259" s="11">
        <v>8500</v>
      </c>
      <c r="M259" t="s">
        <v>567</v>
      </c>
    </row>
    <row r="260" spans="2:13" ht="12.75">
      <c r="B260" s="10" t="s">
        <v>309</v>
      </c>
      <c r="C260" s="10" t="s">
        <v>161</v>
      </c>
      <c r="D260" s="11">
        <v>17400</v>
      </c>
      <c r="F260" s="8" t="s">
        <v>381</v>
      </c>
      <c r="G260" s="8" t="s">
        <v>107</v>
      </c>
      <c r="H260" s="9">
        <v>11900</v>
      </c>
      <c r="J260" s="10" t="s">
        <v>520</v>
      </c>
      <c r="K260" s="10" t="s">
        <v>146</v>
      </c>
      <c r="L260" s="11">
        <v>7900</v>
      </c>
      <c r="M260" t="s">
        <v>567</v>
      </c>
    </row>
    <row r="261" spans="2:13" ht="12.75">
      <c r="B261" s="10" t="s">
        <v>170</v>
      </c>
      <c r="C261" s="10" t="s">
        <v>119</v>
      </c>
      <c r="D261" s="11">
        <v>17300</v>
      </c>
      <c r="F261" s="10" t="s">
        <v>382</v>
      </c>
      <c r="G261" s="10" t="s">
        <v>146</v>
      </c>
      <c r="H261" s="11">
        <v>8600</v>
      </c>
      <c r="J261" s="8" t="s">
        <v>420</v>
      </c>
      <c r="K261" s="8" t="s">
        <v>146</v>
      </c>
      <c r="L261" s="9">
        <v>7100</v>
      </c>
      <c r="M261" t="s">
        <v>567</v>
      </c>
    </row>
    <row r="262" spans="2:13" ht="12.75">
      <c r="B262" s="10" t="s">
        <v>148</v>
      </c>
      <c r="C262" s="10" t="s">
        <v>114</v>
      </c>
      <c r="D262" s="11">
        <v>17200</v>
      </c>
      <c r="F262" s="10" t="s">
        <v>383</v>
      </c>
      <c r="G262" s="10" t="s">
        <v>155</v>
      </c>
      <c r="H262" s="11">
        <v>88000</v>
      </c>
      <c r="J262" s="8" t="s">
        <v>492</v>
      </c>
      <c r="K262" s="8" t="s">
        <v>146</v>
      </c>
      <c r="L262" s="9">
        <v>6100</v>
      </c>
      <c r="M262" t="s">
        <v>567</v>
      </c>
    </row>
    <row r="263" spans="2:13" ht="12.75">
      <c r="B263" s="10" t="s">
        <v>303</v>
      </c>
      <c r="C263" s="10" t="s">
        <v>153</v>
      </c>
      <c r="D263" s="11">
        <v>17200</v>
      </c>
      <c r="F263" s="8" t="s">
        <v>384</v>
      </c>
      <c r="G263" s="8" t="s">
        <v>172</v>
      </c>
      <c r="H263" s="9">
        <v>22100</v>
      </c>
      <c r="J263" s="10" t="s">
        <v>244</v>
      </c>
      <c r="K263" s="10" t="s">
        <v>146</v>
      </c>
      <c r="L263" s="11">
        <v>5700</v>
      </c>
      <c r="M263" t="s">
        <v>567</v>
      </c>
    </row>
    <row r="264" spans="2:13" ht="12.75">
      <c r="B264" s="10" t="s">
        <v>407</v>
      </c>
      <c r="C264" s="10" t="s">
        <v>138</v>
      </c>
      <c r="D264" s="11">
        <v>17000</v>
      </c>
      <c r="F264" s="10" t="s">
        <v>385</v>
      </c>
      <c r="G264" s="10" t="s">
        <v>138</v>
      </c>
      <c r="H264" s="11">
        <v>82000</v>
      </c>
      <c r="J264" s="8" t="s">
        <v>457</v>
      </c>
      <c r="K264" s="8" t="s">
        <v>146</v>
      </c>
      <c r="L264" s="9">
        <v>5100</v>
      </c>
      <c r="M264" t="s">
        <v>567</v>
      </c>
    </row>
    <row r="265" spans="2:13" ht="12.75">
      <c r="B265" s="10" t="s">
        <v>447</v>
      </c>
      <c r="C265" s="10" t="s">
        <v>155</v>
      </c>
      <c r="D265" s="11">
        <v>17000</v>
      </c>
      <c r="F265" s="8" t="s">
        <v>386</v>
      </c>
      <c r="G265" s="8" t="s">
        <v>135</v>
      </c>
      <c r="H265" s="9">
        <v>11900</v>
      </c>
      <c r="J265" s="10" t="s">
        <v>526</v>
      </c>
      <c r="K265" s="10" t="s">
        <v>146</v>
      </c>
      <c r="L265" s="11">
        <v>5000</v>
      </c>
      <c r="M265" t="s">
        <v>567</v>
      </c>
    </row>
    <row r="266" spans="2:13" ht="12.75">
      <c r="B266" s="8" t="s">
        <v>482</v>
      </c>
      <c r="C266" s="8" t="s">
        <v>141</v>
      </c>
      <c r="D266" s="9">
        <v>17000</v>
      </c>
      <c r="F266" s="10" t="s">
        <v>387</v>
      </c>
      <c r="G266" s="10" t="s">
        <v>206</v>
      </c>
      <c r="H266" s="11">
        <v>36700</v>
      </c>
      <c r="J266" s="10" t="s">
        <v>321</v>
      </c>
      <c r="K266" s="10" t="s">
        <v>146</v>
      </c>
      <c r="L266" s="11">
        <v>3900</v>
      </c>
      <c r="M266" t="s">
        <v>567</v>
      </c>
    </row>
    <row r="267" spans="2:13" ht="12.75">
      <c r="B267" s="10" t="s">
        <v>209</v>
      </c>
      <c r="C267" s="10" t="s">
        <v>153</v>
      </c>
      <c r="D267" s="11">
        <v>16900</v>
      </c>
      <c r="F267" s="10" t="s">
        <v>388</v>
      </c>
      <c r="G267" s="10" t="s">
        <v>141</v>
      </c>
      <c r="H267" s="11">
        <v>508000</v>
      </c>
      <c r="J267" s="10" t="s">
        <v>406</v>
      </c>
      <c r="K267" s="10" t="s">
        <v>146</v>
      </c>
      <c r="L267" s="11">
        <v>28800</v>
      </c>
      <c r="M267" t="s">
        <v>568</v>
      </c>
    </row>
    <row r="268" spans="2:13" ht="12.75">
      <c r="B268" s="10" t="s">
        <v>338</v>
      </c>
      <c r="C268" s="10" t="s">
        <v>107</v>
      </c>
      <c r="D268" s="11">
        <v>16900</v>
      </c>
      <c r="F268" s="8" t="s">
        <v>388</v>
      </c>
      <c r="G268" s="8" t="s">
        <v>146</v>
      </c>
      <c r="H268" s="9">
        <v>15300</v>
      </c>
      <c r="J268" s="10" t="s">
        <v>265</v>
      </c>
      <c r="K268" s="10" t="s">
        <v>146</v>
      </c>
      <c r="L268" s="11">
        <v>13700</v>
      </c>
      <c r="M268" t="s">
        <v>568</v>
      </c>
    </row>
    <row r="269" spans="2:13" ht="12.75">
      <c r="B269" s="10" t="s">
        <v>504</v>
      </c>
      <c r="C269" s="10" t="s">
        <v>189</v>
      </c>
      <c r="D269" s="11">
        <v>16900</v>
      </c>
      <c r="F269" s="8" t="s">
        <v>389</v>
      </c>
      <c r="G269" s="8" t="s">
        <v>124</v>
      </c>
      <c r="H269" s="9">
        <v>154000</v>
      </c>
      <c r="J269" s="8" t="s">
        <v>488</v>
      </c>
      <c r="K269" s="8" t="s">
        <v>146</v>
      </c>
      <c r="L269" s="9">
        <v>13000</v>
      </c>
      <c r="M269" t="s">
        <v>568</v>
      </c>
    </row>
    <row r="270" spans="2:13" ht="12.75">
      <c r="B270" s="10" t="s">
        <v>162</v>
      </c>
      <c r="C270" s="10" t="s">
        <v>163</v>
      </c>
      <c r="D270" s="11">
        <v>16600</v>
      </c>
      <c r="F270" s="8" t="s">
        <v>390</v>
      </c>
      <c r="G270" s="8" t="s">
        <v>132</v>
      </c>
      <c r="H270" s="9">
        <v>12800</v>
      </c>
      <c r="J270" s="8" t="s">
        <v>498</v>
      </c>
      <c r="K270" s="8" t="s">
        <v>146</v>
      </c>
      <c r="L270" s="9">
        <v>7000</v>
      </c>
      <c r="M270" t="s">
        <v>568</v>
      </c>
    </row>
    <row r="271" spans="2:13" ht="12.75">
      <c r="B271" s="10" t="s">
        <v>228</v>
      </c>
      <c r="C271" s="10" t="s">
        <v>189</v>
      </c>
      <c r="D271" s="11">
        <v>16600</v>
      </c>
      <c r="F271" s="10" t="s">
        <v>391</v>
      </c>
      <c r="G271" s="10" t="s">
        <v>163</v>
      </c>
      <c r="H271" s="11">
        <v>59000</v>
      </c>
      <c r="J271" s="10" t="s">
        <v>475</v>
      </c>
      <c r="K271" s="10" t="s">
        <v>146</v>
      </c>
      <c r="L271" s="11">
        <v>6500</v>
      </c>
      <c r="M271" t="s">
        <v>568</v>
      </c>
    </row>
    <row r="272" spans="2:13" ht="12.75">
      <c r="B272" s="8" t="s">
        <v>519</v>
      </c>
      <c r="C272" s="8" t="s">
        <v>135</v>
      </c>
      <c r="D272" s="9">
        <v>16600</v>
      </c>
      <c r="F272" s="8" t="s">
        <v>392</v>
      </c>
      <c r="G272" s="8" t="s">
        <v>141</v>
      </c>
      <c r="H272" s="9">
        <v>14300</v>
      </c>
      <c r="J272" s="10" t="s">
        <v>193</v>
      </c>
      <c r="K272" s="10" t="s">
        <v>146</v>
      </c>
      <c r="L272" s="11">
        <v>6100</v>
      </c>
      <c r="M272" t="s">
        <v>568</v>
      </c>
    </row>
    <row r="273" spans="2:13" ht="12.75">
      <c r="B273" s="10" t="s">
        <v>186</v>
      </c>
      <c r="C273" s="10" t="s">
        <v>153</v>
      </c>
      <c r="D273" s="11">
        <v>16500</v>
      </c>
      <c r="F273" s="8" t="s">
        <v>393</v>
      </c>
      <c r="G273" s="8" t="s">
        <v>138</v>
      </c>
      <c r="H273" s="9">
        <v>15500</v>
      </c>
      <c r="J273" s="10" t="s">
        <v>166</v>
      </c>
      <c r="K273" s="10" t="s">
        <v>146</v>
      </c>
      <c r="L273" s="11">
        <v>4400</v>
      </c>
      <c r="M273" t="s">
        <v>568</v>
      </c>
    </row>
    <row r="274" spans="2:13" ht="12.75">
      <c r="B274" s="10" t="s">
        <v>168</v>
      </c>
      <c r="C274" s="10" t="s">
        <v>132</v>
      </c>
      <c r="D274" s="11">
        <v>16400</v>
      </c>
      <c r="F274" s="10" t="s">
        <v>394</v>
      </c>
      <c r="G274" s="10" t="s">
        <v>107</v>
      </c>
      <c r="H274" s="11">
        <v>13400</v>
      </c>
      <c r="J274" s="10" t="s">
        <v>220</v>
      </c>
      <c r="K274" s="10" t="s">
        <v>146</v>
      </c>
      <c r="L274" s="11">
        <v>3500</v>
      </c>
      <c r="M274" t="s">
        <v>568</v>
      </c>
    </row>
    <row r="275" spans="2:13" ht="12.75">
      <c r="B275" s="10" t="s">
        <v>276</v>
      </c>
      <c r="C275" s="10" t="s">
        <v>132</v>
      </c>
      <c r="D275" s="11">
        <v>16400</v>
      </c>
      <c r="F275" s="8" t="s">
        <v>395</v>
      </c>
      <c r="G275" s="8" t="s">
        <v>161</v>
      </c>
      <c r="H275" s="9">
        <v>56400</v>
      </c>
      <c r="J275" s="10" t="s">
        <v>145</v>
      </c>
      <c r="K275" s="10" t="s">
        <v>146</v>
      </c>
      <c r="L275" s="11">
        <v>2500</v>
      </c>
      <c r="M275" t="s">
        <v>568</v>
      </c>
    </row>
    <row r="276" spans="2:13" ht="12.75">
      <c r="B276" s="10" t="s">
        <v>301</v>
      </c>
      <c r="C276" s="10" t="s">
        <v>189</v>
      </c>
      <c r="D276" s="11">
        <v>16400</v>
      </c>
      <c r="F276" s="8" t="s">
        <v>396</v>
      </c>
      <c r="G276" s="8" t="s">
        <v>121</v>
      </c>
      <c r="H276" s="9">
        <v>56100</v>
      </c>
      <c r="J276" s="10" t="s">
        <v>388</v>
      </c>
      <c r="K276" s="10" t="s">
        <v>141</v>
      </c>
      <c r="L276" s="11">
        <v>508000</v>
      </c>
      <c r="M276" t="s">
        <v>567</v>
      </c>
    </row>
    <row r="277" spans="2:13" ht="12.75">
      <c r="B277" s="8" t="s">
        <v>444</v>
      </c>
      <c r="C277" s="8" t="s">
        <v>121</v>
      </c>
      <c r="D277" s="9">
        <v>16400</v>
      </c>
      <c r="F277" s="10" t="s">
        <v>397</v>
      </c>
      <c r="G277" s="10" t="s">
        <v>107</v>
      </c>
      <c r="H277" s="11">
        <v>18500</v>
      </c>
      <c r="J277" s="10" t="s">
        <v>417</v>
      </c>
      <c r="K277" s="10" t="s">
        <v>141</v>
      </c>
      <c r="L277" s="11">
        <v>83800</v>
      </c>
      <c r="M277" t="s">
        <v>567</v>
      </c>
    </row>
    <row r="278" spans="2:13" ht="12.75">
      <c r="B278" s="10" t="s">
        <v>530</v>
      </c>
      <c r="C278" s="10" t="s">
        <v>214</v>
      </c>
      <c r="D278" s="11">
        <v>16400</v>
      </c>
      <c r="F278" s="8" t="s">
        <v>398</v>
      </c>
      <c r="G278" s="8" t="s">
        <v>192</v>
      </c>
      <c r="H278" s="9">
        <v>10344</v>
      </c>
      <c r="J278" s="10" t="s">
        <v>203</v>
      </c>
      <c r="K278" s="10" t="s">
        <v>141</v>
      </c>
      <c r="L278" s="11">
        <v>42800</v>
      </c>
      <c r="M278" t="s">
        <v>567</v>
      </c>
    </row>
    <row r="279" spans="2:13" ht="12.75">
      <c r="B279" s="10" t="s">
        <v>260</v>
      </c>
      <c r="C279" s="10" t="s">
        <v>189</v>
      </c>
      <c r="D279" s="11">
        <v>16200</v>
      </c>
      <c r="F279" s="8" t="s">
        <v>399</v>
      </c>
      <c r="G279" s="8" t="s">
        <v>111</v>
      </c>
      <c r="H279" s="9">
        <v>9900</v>
      </c>
      <c r="J279" s="8" t="s">
        <v>555</v>
      </c>
      <c r="K279" s="8" t="s">
        <v>141</v>
      </c>
      <c r="L279" s="9">
        <v>41900</v>
      </c>
      <c r="M279" t="s">
        <v>567</v>
      </c>
    </row>
    <row r="280" spans="2:13" ht="12.75">
      <c r="B280" s="10" t="s">
        <v>181</v>
      </c>
      <c r="C280" s="10" t="s">
        <v>172</v>
      </c>
      <c r="D280" s="11">
        <v>16100</v>
      </c>
      <c r="F280" s="8" t="s">
        <v>400</v>
      </c>
      <c r="G280" s="8" t="s">
        <v>109</v>
      </c>
      <c r="H280" s="9">
        <v>14600</v>
      </c>
      <c r="J280" s="10" t="s">
        <v>415</v>
      </c>
      <c r="K280" s="10" t="s">
        <v>141</v>
      </c>
      <c r="L280" s="11">
        <v>18400</v>
      </c>
      <c r="M280" t="s">
        <v>567</v>
      </c>
    </row>
    <row r="281" spans="2:13" ht="12.75">
      <c r="B281" s="10" t="s">
        <v>273</v>
      </c>
      <c r="C281" s="10" t="s">
        <v>124</v>
      </c>
      <c r="D281" s="11">
        <v>16000</v>
      </c>
      <c r="F281" s="10" t="s">
        <v>401</v>
      </c>
      <c r="G281" s="10" t="s">
        <v>124</v>
      </c>
      <c r="H281" s="11">
        <v>77000</v>
      </c>
      <c r="J281" s="10" t="s">
        <v>405</v>
      </c>
      <c r="K281" s="10" t="s">
        <v>141</v>
      </c>
      <c r="L281" s="11">
        <v>18100</v>
      </c>
      <c r="M281" t="s">
        <v>567</v>
      </c>
    </row>
    <row r="282" spans="2:13" ht="12.75">
      <c r="B282" s="10" t="s">
        <v>215</v>
      </c>
      <c r="C282" s="10" t="s">
        <v>109</v>
      </c>
      <c r="D282" s="11">
        <v>15900</v>
      </c>
      <c r="F282" s="8" t="s">
        <v>402</v>
      </c>
      <c r="G282" s="8" t="s">
        <v>192</v>
      </c>
      <c r="H282" s="9">
        <v>8600</v>
      </c>
      <c r="J282" s="8" t="s">
        <v>482</v>
      </c>
      <c r="K282" s="8" t="s">
        <v>141</v>
      </c>
      <c r="L282" s="9">
        <v>17000</v>
      </c>
      <c r="M282" t="s">
        <v>567</v>
      </c>
    </row>
    <row r="283" spans="2:13" ht="12.75">
      <c r="B283" s="10" t="s">
        <v>373</v>
      </c>
      <c r="C283" s="10" t="s">
        <v>143</v>
      </c>
      <c r="D283" s="11">
        <v>15900</v>
      </c>
      <c r="F283" s="8" t="s">
        <v>403</v>
      </c>
      <c r="G283" s="8" t="s">
        <v>109</v>
      </c>
      <c r="H283" s="9">
        <v>20000</v>
      </c>
      <c r="J283" s="8" t="s">
        <v>392</v>
      </c>
      <c r="K283" s="8" t="s">
        <v>141</v>
      </c>
      <c r="L283" s="9">
        <v>14300</v>
      </c>
      <c r="M283" t="s">
        <v>567</v>
      </c>
    </row>
    <row r="284" spans="2:13" ht="12.75">
      <c r="B284" s="8" t="s">
        <v>507</v>
      </c>
      <c r="C284" s="8" t="s">
        <v>111</v>
      </c>
      <c r="D284" s="9">
        <v>15900</v>
      </c>
      <c r="F284" s="10" t="s">
        <v>404</v>
      </c>
      <c r="G284" s="10" t="s">
        <v>146</v>
      </c>
      <c r="H284" s="11">
        <v>27200</v>
      </c>
      <c r="J284" s="10" t="s">
        <v>140</v>
      </c>
      <c r="K284" s="10" t="s">
        <v>141</v>
      </c>
      <c r="L284" s="11">
        <v>14000</v>
      </c>
      <c r="M284" t="s">
        <v>567</v>
      </c>
    </row>
    <row r="285" spans="2:13" ht="12.75">
      <c r="B285" s="10" t="s">
        <v>512</v>
      </c>
      <c r="C285" s="10" t="s">
        <v>143</v>
      </c>
      <c r="D285" s="11">
        <v>15800</v>
      </c>
      <c r="F285" s="10" t="s">
        <v>405</v>
      </c>
      <c r="G285" s="10" t="s">
        <v>141</v>
      </c>
      <c r="H285" s="11">
        <v>18100</v>
      </c>
      <c r="J285" s="8" t="s">
        <v>410</v>
      </c>
      <c r="K285" s="8" t="s">
        <v>119</v>
      </c>
      <c r="L285" s="9">
        <v>1002000</v>
      </c>
      <c r="M285" t="s">
        <v>567</v>
      </c>
    </row>
    <row r="286" spans="2:13" ht="12.75">
      <c r="B286" s="10" t="s">
        <v>158</v>
      </c>
      <c r="C286" s="10" t="s">
        <v>143</v>
      </c>
      <c r="D286" s="11">
        <v>15700</v>
      </c>
      <c r="F286" s="10" t="s">
        <v>406</v>
      </c>
      <c r="G286" s="10" t="s">
        <v>146</v>
      </c>
      <c r="H286" s="11">
        <v>28800</v>
      </c>
      <c r="J286" s="10" t="s">
        <v>284</v>
      </c>
      <c r="K286" s="10" t="s">
        <v>119</v>
      </c>
      <c r="L286" s="11">
        <v>95100</v>
      </c>
      <c r="M286" t="s">
        <v>567</v>
      </c>
    </row>
    <row r="287" spans="2:13" ht="12.75">
      <c r="B287" s="8" t="s">
        <v>393</v>
      </c>
      <c r="C287" s="8" t="s">
        <v>138</v>
      </c>
      <c r="D287" s="9">
        <v>15500</v>
      </c>
      <c r="F287" s="10" t="s">
        <v>407</v>
      </c>
      <c r="G287" s="10" t="s">
        <v>138</v>
      </c>
      <c r="H287" s="11">
        <v>17000</v>
      </c>
      <c r="J287" s="10" t="s">
        <v>144</v>
      </c>
      <c r="K287" s="10" t="s">
        <v>119</v>
      </c>
      <c r="L287" s="11">
        <v>56800</v>
      </c>
      <c r="M287" t="s">
        <v>567</v>
      </c>
    </row>
    <row r="288" spans="2:13" ht="12.75">
      <c r="B288" s="10" t="s">
        <v>190</v>
      </c>
      <c r="C288" s="10" t="s">
        <v>111</v>
      </c>
      <c r="D288" s="11">
        <v>15400</v>
      </c>
      <c r="F288" s="8" t="s">
        <v>408</v>
      </c>
      <c r="G288" s="8" t="s">
        <v>143</v>
      </c>
      <c r="H288" s="9">
        <v>33000</v>
      </c>
      <c r="J288" s="10" t="s">
        <v>289</v>
      </c>
      <c r="K288" s="10" t="s">
        <v>119</v>
      </c>
      <c r="L288" s="11">
        <v>54800</v>
      </c>
      <c r="M288" t="s">
        <v>567</v>
      </c>
    </row>
    <row r="289" spans="2:13" ht="12.75">
      <c r="B289" s="10" t="s">
        <v>495</v>
      </c>
      <c r="C289" s="10" t="s">
        <v>192</v>
      </c>
      <c r="D289" s="11">
        <v>15400</v>
      </c>
      <c r="F289" s="10" t="s">
        <v>409</v>
      </c>
      <c r="G289" s="10" t="s">
        <v>121</v>
      </c>
      <c r="H289" s="11">
        <v>18700</v>
      </c>
      <c r="J289" s="10" t="s">
        <v>334</v>
      </c>
      <c r="K289" s="10" t="s">
        <v>119</v>
      </c>
      <c r="L289" s="11">
        <v>41400</v>
      </c>
      <c r="M289" t="s">
        <v>567</v>
      </c>
    </row>
    <row r="290" spans="2:13" ht="12.75">
      <c r="B290" s="8" t="s">
        <v>509</v>
      </c>
      <c r="C290" s="8" t="s">
        <v>157</v>
      </c>
      <c r="D290" s="9">
        <v>15400</v>
      </c>
      <c r="F290" s="8" t="s">
        <v>410</v>
      </c>
      <c r="G290" s="8" t="s">
        <v>119</v>
      </c>
      <c r="H290" s="9">
        <v>1002000</v>
      </c>
      <c r="J290" s="10" t="s">
        <v>311</v>
      </c>
      <c r="K290" s="10" t="s">
        <v>119</v>
      </c>
      <c r="L290" s="11">
        <v>25400</v>
      </c>
      <c r="M290" t="s">
        <v>567</v>
      </c>
    </row>
    <row r="291" spans="2:13" ht="12.75">
      <c r="B291" s="10" t="s">
        <v>224</v>
      </c>
      <c r="C291" s="10" t="s">
        <v>163</v>
      </c>
      <c r="D291" s="11">
        <v>15300</v>
      </c>
      <c r="F291" s="8" t="s">
        <v>411</v>
      </c>
      <c r="G291" s="8" t="s">
        <v>124</v>
      </c>
      <c r="H291" s="9">
        <v>45400</v>
      </c>
      <c r="J291" s="10" t="s">
        <v>556</v>
      </c>
      <c r="K291" s="10" t="s">
        <v>119</v>
      </c>
      <c r="L291" s="11">
        <v>24700</v>
      </c>
      <c r="M291" t="s">
        <v>567</v>
      </c>
    </row>
    <row r="292" spans="2:13" ht="12.75">
      <c r="B292" s="10" t="s">
        <v>323</v>
      </c>
      <c r="C292" s="10" t="s">
        <v>132</v>
      </c>
      <c r="D292" s="11">
        <v>15300</v>
      </c>
      <c r="F292" s="10" t="s">
        <v>412</v>
      </c>
      <c r="G292" s="10" t="s">
        <v>153</v>
      </c>
      <c r="H292" s="11">
        <v>20600</v>
      </c>
      <c r="J292" s="8" t="s">
        <v>448</v>
      </c>
      <c r="K292" s="8" t="s">
        <v>119</v>
      </c>
      <c r="L292" s="9">
        <v>23300</v>
      </c>
      <c r="M292" t="s">
        <v>567</v>
      </c>
    </row>
    <row r="293" spans="2:13" ht="12.75">
      <c r="B293" s="8" t="s">
        <v>388</v>
      </c>
      <c r="C293" s="8" t="s">
        <v>146</v>
      </c>
      <c r="D293" s="9">
        <v>15300</v>
      </c>
      <c r="F293" s="10" t="s">
        <v>413</v>
      </c>
      <c r="G293" s="10" t="s">
        <v>138</v>
      </c>
      <c r="H293" s="11">
        <v>7300</v>
      </c>
      <c r="J293" s="10" t="s">
        <v>133</v>
      </c>
      <c r="K293" s="10" t="s">
        <v>119</v>
      </c>
      <c r="L293" s="11">
        <v>23100</v>
      </c>
      <c r="M293" t="s">
        <v>567</v>
      </c>
    </row>
    <row r="294" spans="2:13" ht="12.75">
      <c r="B294" s="10" t="s">
        <v>331</v>
      </c>
      <c r="C294" s="10" t="s">
        <v>138</v>
      </c>
      <c r="D294" s="11">
        <v>14800</v>
      </c>
      <c r="F294" s="10" t="s">
        <v>414</v>
      </c>
      <c r="G294" s="10" t="s">
        <v>255</v>
      </c>
      <c r="H294" s="11">
        <v>14200</v>
      </c>
      <c r="J294" s="8" t="s">
        <v>446</v>
      </c>
      <c r="K294" s="8" t="s">
        <v>119</v>
      </c>
      <c r="L294" s="9">
        <v>19500</v>
      </c>
      <c r="M294" t="s">
        <v>567</v>
      </c>
    </row>
    <row r="295" spans="2:13" ht="12.75">
      <c r="B295" s="10" t="s">
        <v>226</v>
      </c>
      <c r="C295" s="10" t="s">
        <v>107</v>
      </c>
      <c r="D295" s="11">
        <v>14700</v>
      </c>
      <c r="F295" s="10" t="s">
        <v>415</v>
      </c>
      <c r="G295" s="10" t="s">
        <v>141</v>
      </c>
      <c r="H295" s="11">
        <v>18400</v>
      </c>
      <c r="J295" s="10" t="s">
        <v>128</v>
      </c>
      <c r="K295" s="10" t="s">
        <v>119</v>
      </c>
      <c r="L295" s="11">
        <v>19100</v>
      </c>
      <c r="M295" t="s">
        <v>567</v>
      </c>
    </row>
    <row r="296" spans="2:13" ht="12.75">
      <c r="B296" s="10" t="s">
        <v>269</v>
      </c>
      <c r="C296" s="10" t="s">
        <v>157</v>
      </c>
      <c r="D296" s="11">
        <v>14600</v>
      </c>
      <c r="F296" s="8" t="s">
        <v>416</v>
      </c>
      <c r="G296" s="8" t="s">
        <v>124</v>
      </c>
      <c r="H296" s="9">
        <v>132000</v>
      </c>
      <c r="J296" s="10" t="s">
        <v>170</v>
      </c>
      <c r="K296" s="10" t="s">
        <v>119</v>
      </c>
      <c r="L296" s="11">
        <v>17300</v>
      </c>
      <c r="M296" t="s">
        <v>567</v>
      </c>
    </row>
    <row r="297" spans="2:13" ht="12.75">
      <c r="B297" s="8" t="s">
        <v>400</v>
      </c>
      <c r="C297" s="8" t="s">
        <v>109</v>
      </c>
      <c r="D297" s="9">
        <v>14600</v>
      </c>
      <c r="F297" s="10" t="s">
        <v>417</v>
      </c>
      <c r="G297" s="10" t="s">
        <v>141</v>
      </c>
      <c r="H297" s="11">
        <v>83800</v>
      </c>
      <c r="J297" s="10" t="s">
        <v>151</v>
      </c>
      <c r="K297" s="10" t="s">
        <v>119</v>
      </c>
      <c r="L297" s="11">
        <v>13300</v>
      </c>
      <c r="M297" t="s">
        <v>567</v>
      </c>
    </row>
    <row r="298" spans="2:13" ht="12.75">
      <c r="B298" s="10" t="s">
        <v>424</v>
      </c>
      <c r="C298" s="10" t="s">
        <v>111</v>
      </c>
      <c r="D298" s="11">
        <v>14600</v>
      </c>
      <c r="F298" s="8" t="s">
        <v>417</v>
      </c>
      <c r="G298" s="8" t="s">
        <v>111</v>
      </c>
      <c r="H298" s="9">
        <v>46900</v>
      </c>
      <c r="J298" s="10" t="s">
        <v>159</v>
      </c>
      <c r="K298" s="10" t="s">
        <v>119</v>
      </c>
      <c r="L298" s="11">
        <v>12800</v>
      </c>
      <c r="M298" t="s">
        <v>567</v>
      </c>
    </row>
    <row r="299" spans="2:13" ht="12.75">
      <c r="B299" s="10" t="s">
        <v>364</v>
      </c>
      <c r="C299" s="10" t="s">
        <v>109</v>
      </c>
      <c r="D299" s="11">
        <v>14500</v>
      </c>
      <c r="F299" s="10" t="s">
        <v>417</v>
      </c>
      <c r="G299" s="10" t="s">
        <v>124</v>
      </c>
      <c r="H299" s="11">
        <v>29300</v>
      </c>
      <c r="J299" s="10" t="s">
        <v>506</v>
      </c>
      <c r="K299" s="10" t="s">
        <v>119</v>
      </c>
      <c r="L299" s="11">
        <v>11500</v>
      </c>
      <c r="M299" t="s">
        <v>567</v>
      </c>
    </row>
    <row r="300" spans="2:13" ht="12.75">
      <c r="B300" s="8" t="s">
        <v>454</v>
      </c>
      <c r="C300" s="8" t="s">
        <v>161</v>
      </c>
      <c r="D300" s="9">
        <v>14500</v>
      </c>
      <c r="F300" s="8" t="s">
        <v>418</v>
      </c>
      <c r="G300" s="8" t="s">
        <v>132</v>
      </c>
      <c r="H300" s="9">
        <v>31200</v>
      </c>
      <c r="J300" s="10" t="s">
        <v>318</v>
      </c>
      <c r="K300" s="10" t="s">
        <v>119</v>
      </c>
      <c r="L300" s="11">
        <v>11400</v>
      </c>
      <c r="M300" t="s">
        <v>567</v>
      </c>
    </row>
    <row r="301" spans="2:13" ht="12.75">
      <c r="B301" s="10" t="s">
        <v>223</v>
      </c>
      <c r="C301" s="10" t="s">
        <v>135</v>
      </c>
      <c r="D301" s="11">
        <v>14400</v>
      </c>
      <c r="F301" s="10" t="s">
        <v>419</v>
      </c>
      <c r="G301" s="10" t="s">
        <v>111</v>
      </c>
      <c r="H301" s="11">
        <v>27700</v>
      </c>
      <c r="J301" s="10" t="s">
        <v>197</v>
      </c>
      <c r="K301" s="10" t="s">
        <v>119</v>
      </c>
      <c r="L301" s="11">
        <v>10600</v>
      </c>
      <c r="M301" t="s">
        <v>567</v>
      </c>
    </row>
    <row r="302" spans="2:13" ht="12.75">
      <c r="B302" s="8" t="s">
        <v>505</v>
      </c>
      <c r="C302" s="8" t="s">
        <v>143</v>
      </c>
      <c r="D302" s="9">
        <v>14400</v>
      </c>
      <c r="F302" s="8" t="s">
        <v>420</v>
      </c>
      <c r="G302" s="8" t="s">
        <v>146</v>
      </c>
      <c r="H302" s="9">
        <v>7100</v>
      </c>
      <c r="J302" s="10" t="s">
        <v>508</v>
      </c>
      <c r="K302" s="10" t="s">
        <v>119</v>
      </c>
      <c r="L302" s="11">
        <v>10200</v>
      </c>
      <c r="M302" t="s">
        <v>567</v>
      </c>
    </row>
    <row r="303" spans="2:13" ht="12.75">
      <c r="B303" s="8" t="s">
        <v>392</v>
      </c>
      <c r="C303" s="8" t="s">
        <v>141</v>
      </c>
      <c r="D303" s="9">
        <v>14300</v>
      </c>
      <c r="F303" s="10" t="s">
        <v>421</v>
      </c>
      <c r="G303" s="10" t="s">
        <v>143</v>
      </c>
      <c r="H303" s="11">
        <v>31100</v>
      </c>
      <c r="J303" s="10" t="s">
        <v>118</v>
      </c>
      <c r="K303" s="10" t="s">
        <v>119</v>
      </c>
      <c r="L303" s="11">
        <v>9600</v>
      </c>
      <c r="M303" t="s">
        <v>567</v>
      </c>
    </row>
    <row r="304" spans="2:13" ht="12.75">
      <c r="B304" s="10" t="s">
        <v>164</v>
      </c>
      <c r="C304" s="10" t="s">
        <v>135</v>
      </c>
      <c r="D304" s="11">
        <v>14200</v>
      </c>
      <c r="F304" s="10" t="s">
        <v>422</v>
      </c>
      <c r="G304" s="10" t="s">
        <v>124</v>
      </c>
      <c r="H304" s="11">
        <v>29374</v>
      </c>
      <c r="J304" s="10" t="s">
        <v>61</v>
      </c>
      <c r="K304" s="10" t="s">
        <v>214</v>
      </c>
      <c r="L304" s="11">
        <v>319000</v>
      </c>
      <c r="M304" t="s">
        <v>567</v>
      </c>
    </row>
    <row r="305" spans="2:13" ht="12.75">
      <c r="B305" s="10" t="s">
        <v>184</v>
      </c>
      <c r="C305" s="10" t="s">
        <v>157</v>
      </c>
      <c r="D305" s="11">
        <v>14200</v>
      </c>
      <c r="F305" s="8" t="s">
        <v>422</v>
      </c>
      <c r="G305" s="8" t="s">
        <v>121</v>
      </c>
      <c r="H305" s="9">
        <v>3633</v>
      </c>
      <c r="J305" s="10" t="s">
        <v>346</v>
      </c>
      <c r="K305" s="10" t="s">
        <v>214</v>
      </c>
      <c r="L305" s="11">
        <v>232407</v>
      </c>
      <c r="M305" t="s">
        <v>567</v>
      </c>
    </row>
    <row r="306" spans="2:13" ht="12.75">
      <c r="B306" s="10" t="s">
        <v>229</v>
      </c>
      <c r="C306" s="10" t="s">
        <v>138</v>
      </c>
      <c r="D306" s="11">
        <v>14200</v>
      </c>
      <c r="F306" s="8" t="s">
        <v>423</v>
      </c>
      <c r="G306" s="8" t="s">
        <v>132</v>
      </c>
      <c r="H306" s="9">
        <v>19900</v>
      </c>
      <c r="J306" s="10" t="s">
        <v>357</v>
      </c>
      <c r="K306" s="10" t="s">
        <v>214</v>
      </c>
      <c r="L306" s="11">
        <v>60300</v>
      </c>
      <c r="M306" t="s">
        <v>567</v>
      </c>
    </row>
    <row r="307" spans="2:13" ht="12.75">
      <c r="B307" s="10" t="s">
        <v>414</v>
      </c>
      <c r="C307" s="10" t="s">
        <v>255</v>
      </c>
      <c r="D307" s="11">
        <v>14200</v>
      </c>
      <c r="F307" s="10" t="s">
        <v>424</v>
      </c>
      <c r="G307" s="10" t="s">
        <v>111</v>
      </c>
      <c r="H307" s="11">
        <v>14600</v>
      </c>
      <c r="J307" s="10" t="s">
        <v>322</v>
      </c>
      <c r="K307" s="10" t="s">
        <v>214</v>
      </c>
      <c r="L307" s="11">
        <v>53000</v>
      </c>
      <c r="M307" t="s">
        <v>567</v>
      </c>
    </row>
    <row r="308" spans="2:13" ht="12.75">
      <c r="B308" s="8" t="s">
        <v>558</v>
      </c>
      <c r="C308" s="8" t="s">
        <v>146</v>
      </c>
      <c r="D308" s="9">
        <v>14100</v>
      </c>
      <c r="F308" s="8" t="s">
        <v>425</v>
      </c>
      <c r="G308" s="8" t="s">
        <v>132</v>
      </c>
      <c r="H308" s="9">
        <v>8500</v>
      </c>
      <c r="J308" s="10" t="s">
        <v>372</v>
      </c>
      <c r="K308" s="10" t="s">
        <v>214</v>
      </c>
      <c r="L308" s="11">
        <v>46600</v>
      </c>
      <c r="M308" t="s">
        <v>567</v>
      </c>
    </row>
    <row r="309" spans="2:13" ht="12.75">
      <c r="B309" s="10" t="s">
        <v>140</v>
      </c>
      <c r="C309" s="10" t="s">
        <v>141</v>
      </c>
      <c r="D309" s="11">
        <v>14000</v>
      </c>
      <c r="F309" s="8" t="s">
        <v>426</v>
      </c>
      <c r="G309" s="8" t="s">
        <v>214</v>
      </c>
      <c r="H309" s="9">
        <v>17900</v>
      </c>
      <c r="J309" s="10" t="s">
        <v>213</v>
      </c>
      <c r="K309" s="10" t="s">
        <v>214</v>
      </c>
      <c r="L309" s="11">
        <v>27100</v>
      </c>
      <c r="M309" t="s">
        <v>567</v>
      </c>
    </row>
    <row r="310" spans="2:13" ht="12.75">
      <c r="B310" s="10" t="s">
        <v>438</v>
      </c>
      <c r="C310" s="10" t="s">
        <v>153</v>
      </c>
      <c r="D310" s="11">
        <v>13900</v>
      </c>
      <c r="F310" s="10" t="s">
        <v>427</v>
      </c>
      <c r="G310" s="10" t="s">
        <v>135</v>
      </c>
      <c r="H310" s="11">
        <v>11500</v>
      </c>
      <c r="J310" s="10" t="s">
        <v>306</v>
      </c>
      <c r="K310" s="10" t="s">
        <v>214</v>
      </c>
      <c r="L310" s="11">
        <v>19600</v>
      </c>
      <c r="M310" t="s">
        <v>567</v>
      </c>
    </row>
    <row r="311" spans="2:13" ht="12.75">
      <c r="B311" s="10" t="s">
        <v>261</v>
      </c>
      <c r="C311" s="10" t="s">
        <v>107</v>
      </c>
      <c r="D311" s="11">
        <v>13700</v>
      </c>
      <c r="F311" s="8" t="s">
        <v>428</v>
      </c>
      <c r="G311" s="8" t="s">
        <v>157</v>
      </c>
      <c r="H311" s="9">
        <v>3800</v>
      </c>
      <c r="J311" s="8" t="s">
        <v>426</v>
      </c>
      <c r="K311" s="8" t="s">
        <v>214</v>
      </c>
      <c r="L311" s="9">
        <v>17900</v>
      </c>
      <c r="M311" t="s">
        <v>567</v>
      </c>
    </row>
    <row r="312" spans="2:13" ht="12.75">
      <c r="B312" s="10" t="s">
        <v>265</v>
      </c>
      <c r="C312" s="10" t="s">
        <v>146</v>
      </c>
      <c r="D312" s="11">
        <v>13700</v>
      </c>
      <c r="F312" s="8" t="s">
        <v>429</v>
      </c>
      <c r="G312" s="8" t="s">
        <v>124</v>
      </c>
      <c r="H312" s="9">
        <v>19500</v>
      </c>
      <c r="J312" s="10" t="s">
        <v>530</v>
      </c>
      <c r="K312" s="10" t="s">
        <v>214</v>
      </c>
      <c r="L312" s="11">
        <v>16400</v>
      </c>
      <c r="M312" t="s">
        <v>567</v>
      </c>
    </row>
    <row r="313" spans="2:13" ht="12.75">
      <c r="B313" s="10" t="s">
        <v>295</v>
      </c>
      <c r="C313" s="10" t="s">
        <v>138</v>
      </c>
      <c r="D313" s="11">
        <v>13700</v>
      </c>
      <c r="F313" s="8" t="s">
        <v>430</v>
      </c>
      <c r="G313" s="8" t="s">
        <v>132</v>
      </c>
      <c r="H313" s="9">
        <v>10100</v>
      </c>
      <c r="J313" s="10" t="s">
        <v>356</v>
      </c>
      <c r="K313" s="10" t="s">
        <v>214</v>
      </c>
      <c r="L313" s="11">
        <v>13500</v>
      </c>
      <c r="M313" t="s">
        <v>567</v>
      </c>
    </row>
    <row r="314" spans="2:13" ht="12.75">
      <c r="B314" s="10" t="s">
        <v>296</v>
      </c>
      <c r="C314" s="10" t="s">
        <v>143</v>
      </c>
      <c r="D314" s="11">
        <v>13700</v>
      </c>
      <c r="F314" s="8" t="s">
        <v>431</v>
      </c>
      <c r="G314" s="8" t="s">
        <v>153</v>
      </c>
      <c r="H314" s="9">
        <v>22100</v>
      </c>
      <c r="J314" s="10" t="s">
        <v>315</v>
      </c>
      <c r="K314" s="10" t="s">
        <v>214</v>
      </c>
      <c r="L314" s="11">
        <v>11700</v>
      </c>
      <c r="M314" t="s">
        <v>567</v>
      </c>
    </row>
    <row r="315" spans="2:13" ht="12.75">
      <c r="B315" s="10" t="s">
        <v>453</v>
      </c>
      <c r="C315" s="10" t="s">
        <v>107</v>
      </c>
      <c r="D315" s="11">
        <v>13600</v>
      </c>
      <c r="F315" s="10" t="s">
        <v>432</v>
      </c>
      <c r="G315" s="10" t="s">
        <v>206</v>
      </c>
      <c r="H315" s="11">
        <v>24700</v>
      </c>
      <c r="J315" s="10" t="s">
        <v>274</v>
      </c>
      <c r="K315" s="10" t="s">
        <v>214</v>
      </c>
      <c r="L315" s="11">
        <v>10300</v>
      </c>
      <c r="M315" t="s">
        <v>567</v>
      </c>
    </row>
    <row r="316" spans="2:13" ht="12.75">
      <c r="B316" s="10" t="s">
        <v>502</v>
      </c>
      <c r="C316" s="10" t="s">
        <v>111</v>
      </c>
      <c r="D316" s="11">
        <v>13600</v>
      </c>
      <c r="F316" s="10" t="s">
        <v>61</v>
      </c>
      <c r="G316" s="10" t="s">
        <v>214</v>
      </c>
      <c r="H316" s="11">
        <v>319000</v>
      </c>
      <c r="J316" s="10" t="s">
        <v>221</v>
      </c>
      <c r="K316" s="10" t="s">
        <v>214</v>
      </c>
      <c r="L316" s="11">
        <v>13100</v>
      </c>
      <c r="M316" t="s">
        <v>567</v>
      </c>
    </row>
    <row r="317" spans="2:13" ht="12.75">
      <c r="B317" s="10" t="s">
        <v>356</v>
      </c>
      <c r="C317" s="10" t="s">
        <v>214</v>
      </c>
      <c r="D317" s="11">
        <v>13500</v>
      </c>
      <c r="F317" s="8" t="s">
        <v>433</v>
      </c>
      <c r="G317" s="8" t="s">
        <v>109</v>
      </c>
      <c r="H317" s="9">
        <v>11400</v>
      </c>
      <c r="J317" s="10" t="s">
        <v>233</v>
      </c>
      <c r="K317" s="10" t="s">
        <v>214</v>
      </c>
      <c r="L317" s="11">
        <v>12900</v>
      </c>
      <c r="M317" t="s">
        <v>568</v>
      </c>
    </row>
    <row r="318" spans="2:13" ht="12.75">
      <c r="B318" s="8" t="s">
        <v>467</v>
      </c>
      <c r="C318" s="8" t="s">
        <v>107</v>
      </c>
      <c r="D318" s="9">
        <v>13500</v>
      </c>
      <c r="F318" s="10" t="s">
        <v>434</v>
      </c>
      <c r="G318" s="10" t="s">
        <v>111</v>
      </c>
      <c r="H318" s="11">
        <v>26700</v>
      </c>
      <c r="J318" s="8" t="s">
        <v>538</v>
      </c>
      <c r="K318" s="8" t="s">
        <v>214</v>
      </c>
      <c r="L318" s="9">
        <v>9600</v>
      </c>
      <c r="M318" t="s">
        <v>568</v>
      </c>
    </row>
    <row r="319" spans="2:13" ht="12.75">
      <c r="B319" s="8" t="s">
        <v>486</v>
      </c>
      <c r="C319" s="8" t="s">
        <v>107</v>
      </c>
      <c r="D319" s="9">
        <v>13500</v>
      </c>
      <c r="F319" s="8" t="s">
        <v>435</v>
      </c>
      <c r="G319" s="8" t="s">
        <v>157</v>
      </c>
      <c r="H319" s="9">
        <v>8700</v>
      </c>
      <c r="J319" s="10" t="s">
        <v>451</v>
      </c>
      <c r="K319" s="10" t="s">
        <v>255</v>
      </c>
      <c r="L319" s="11">
        <v>245000</v>
      </c>
      <c r="M319" t="s">
        <v>567</v>
      </c>
    </row>
    <row r="320" spans="2:13" ht="12.75">
      <c r="B320" s="10" t="s">
        <v>553</v>
      </c>
      <c r="C320" s="10" t="s">
        <v>138</v>
      </c>
      <c r="D320" s="11">
        <v>13500</v>
      </c>
      <c r="F320" s="10" t="s">
        <v>436</v>
      </c>
      <c r="G320" s="10" t="s">
        <v>111</v>
      </c>
      <c r="H320" s="11">
        <v>10300</v>
      </c>
      <c r="J320" s="10" t="s">
        <v>254</v>
      </c>
      <c r="K320" s="10" t="s">
        <v>255</v>
      </c>
      <c r="L320" s="11">
        <v>41000</v>
      </c>
      <c r="M320" t="s">
        <v>567</v>
      </c>
    </row>
    <row r="321" spans="2:13" ht="12.75">
      <c r="B321" s="10" t="s">
        <v>394</v>
      </c>
      <c r="C321" s="10" t="s">
        <v>107</v>
      </c>
      <c r="D321" s="11">
        <v>13400</v>
      </c>
      <c r="F321" s="10" t="s">
        <v>437</v>
      </c>
      <c r="G321" s="10" t="s">
        <v>138</v>
      </c>
      <c r="H321" s="11">
        <v>73000</v>
      </c>
      <c r="J321" s="10" t="s">
        <v>349</v>
      </c>
      <c r="K321" s="10" t="s">
        <v>255</v>
      </c>
      <c r="L321" s="11">
        <v>40200</v>
      </c>
      <c r="M321" t="s">
        <v>567</v>
      </c>
    </row>
    <row r="322" spans="2:13" ht="12.75">
      <c r="B322" s="10" t="s">
        <v>151</v>
      </c>
      <c r="C322" s="10" t="s">
        <v>119</v>
      </c>
      <c r="D322" s="11">
        <v>13300</v>
      </c>
      <c r="F322" s="10" t="s">
        <v>438</v>
      </c>
      <c r="G322" s="10" t="s">
        <v>153</v>
      </c>
      <c r="H322" s="11">
        <v>13900</v>
      </c>
      <c r="J322" s="10" t="s">
        <v>333</v>
      </c>
      <c r="K322" s="10" t="s">
        <v>255</v>
      </c>
      <c r="L322" s="11">
        <v>32800</v>
      </c>
      <c r="M322" t="s">
        <v>567</v>
      </c>
    </row>
    <row r="323" spans="2:13" ht="12.75">
      <c r="B323" s="10" t="s">
        <v>465</v>
      </c>
      <c r="C323" s="10" t="s">
        <v>107</v>
      </c>
      <c r="D323" s="11">
        <v>13300</v>
      </c>
      <c r="F323" s="8" t="s">
        <v>439</v>
      </c>
      <c r="G323" s="8" t="s">
        <v>146</v>
      </c>
      <c r="H323" s="9">
        <v>10200</v>
      </c>
      <c r="J323" s="8" t="s">
        <v>460</v>
      </c>
      <c r="K323" s="8" t="s">
        <v>255</v>
      </c>
      <c r="L323" s="9">
        <v>31100</v>
      </c>
      <c r="M323" t="s">
        <v>567</v>
      </c>
    </row>
    <row r="324" spans="2:13" ht="12.75">
      <c r="B324" s="10" t="s">
        <v>221</v>
      </c>
      <c r="C324" s="10" t="s">
        <v>214</v>
      </c>
      <c r="D324" s="11">
        <v>13100</v>
      </c>
      <c r="F324" s="8" t="s">
        <v>440</v>
      </c>
      <c r="G324" s="8" t="s">
        <v>130</v>
      </c>
      <c r="H324" s="9">
        <v>19200</v>
      </c>
      <c r="J324" s="10" t="s">
        <v>272</v>
      </c>
      <c r="K324" s="10" t="s">
        <v>255</v>
      </c>
      <c r="L324" s="11">
        <v>27000</v>
      </c>
      <c r="M324" t="s">
        <v>567</v>
      </c>
    </row>
    <row r="325" spans="2:13" ht="12.75">
      <c r="B325" s="10" t="s">
        <v>370</v>
      </c>
      <c r="C325" s="10" t="s">
        <v>138</v>
      </c>
      <c r="D325" s="11">
        <v>13100</v>
      </c>
      <c r="F325" s="10" t="s">
        <v>441</v>
      </c>
      <c r="G325" s="10" t="s">
        <v>124</v>
      </c>
      <c r="H325" s="11">
        <v>20200</v>
      </c>
      <c r="J325" s="10" t="s">
        <v>414</v>
      </c>
      <c r="K325" s="10" t="s">
        <v>255</v>
      </c>
      <c r="L325" s="11">
        <v>14200</v>
      </c>
      <c r="M325" t="s">
        <v>567</v>
      </c>
    </row>
    <row r="326" spans="2:13" ht="12.75">
      <c r="B326" s="8" t="s">
        <v>552</v>
      </c>
      <c r="C326" s="8" t="s">
        <v>114</v>
      </c>
      <c r="D326" s="9">
        <v>13100</v>
      </c>
      <c r="F326" s="8" t="s">
        <v>442</v>
      </c>
      <c r="G326" s="8" t="s">
        <v>146</v>
      </c>
      <c r="H326" s="9">
        <v>9400</v>
      </c>
      <c r="J326" s="10" t="s">
        <v>445</v>
      </c>
      <c r="K326" s="10" t="s">
        <v>255</v>
      </c>
      <c r="L326" s="11">
        <v>11100</v>
      </c>
      <c r="M326" t="s">
        <v>567</v>
      </c>
    </row>
    <row r="327" spans="2:13" ht="12.75">
      <c r="B327" s="10" t="s">
        <v>323</v>
      </c>
      <c r="C327" s="10" t="s">
        <v>107</v>
      </c>
      <c r="D327" s="11">
        <v>13000</v>
      </c>
      <c r="F327" s="10" t="s">
        <v>443</v>
      </c>
      <c r="G327" s="10" t="s">
        <v>146</v>
      </c>
      <c r="H327" s="11">
        <v>9300</v>
      </c>
      <c r="J327" s="10" t="s">
        <v>256</v>
      </c>
      <c r="K327" s="10" t="s">
        <v>255</v>
      </c>
      <c r="L327" s="11">
        <v>10700</v>
      </c>
      <c r="M327" t="s">
        <v>567</v>
      </c>
    </row>
    <row r="328" spans="2:13" ht="12.75">
      <c r="B328" s="10" t="s">
        <v>487</v>
      </c>
      <c r="C328" s="10" t="s">
        <v>132</v>
      </c>
      <c r="D328" s="11">
        <v>13000</v>
      </c>
      <c r="F328" s="8" t="s">
        <v>444</v>
      </c>
      <c r="G328" s="8" t="s">
        <v>121</v>
      </c>
      <c r="H328" s="9">
        <v>16400</v>
      </c>
      <c r="J328" s="10" t="s">
        <v>327</v>
      </c>
      <c r="K328" s="10" t="s">
        <v>255</v>
      </c>
      <c r="L328" s="11">
        <v>9500</v>
      </c>
      <c r="M328" t="s">
        <v>568</v>
      </c>
    </row>
    <row r="329" spans="2:13" ht="12.75">
      <c r="B329" s="8" t="s">
        <v>488</v>
      </c>
      <c r="C329" s="8" t="s">
        <v>146</v>
      </c>
      <c r="D329" s="9">
        <v>13000</v>
      </c>
      <c r="F329" s="10" t="s">
        <v>445</v>
      </c>
      <c r="G329" s="10" t="s">
        <v>255</v>
      </c>
      <c r="H329" s="11">
        <v>11100</v>
      </c>
      <c r="J329" s="10" t="s">
        <v>499</v>
      </c>
      <c r="K329" s="10" t="s">
        <v>130</v>
      </c>
      <c r="L329" s="11">
        <v>302000</v>
      </c>
      <c r="M329" t="s">
        <v>567</v>
      </c>
    </row>
    <row r="330" spans="2:13" ht="12.75">
      <c r="B330" s="10" t="s">
        <v>233</v>
      </c>
      <c r="C330" s="10" t="s">
        <v>214</v>
      </c>
      <c r="D330" s="11">
        <v>12900</v>
      </c>
      <c r="F330" s="8" t="s">
        <v>446</v>
      </c>
      <c r="G330" s="8" t="s">
        <v>119</v>
      </c>
      <c r="H330" s="9">
        <v>19500</v>
      </c>
      <c r="J330" s="10" t="s">
        <v>324</v>
      </c>
      <c r="K330" s="10" t="s">
        <v>130</v>
      </c>
      <c r="L330" s="11">
        <v>97700</v>
      </c>
      <c r="M330" t="s">
        <v>567</v>
      </c>
    </row>
    <row r="331" spans="2:13" ht="12.75">
      <c r="B331" s="8" t="s">
        <v>533</v>
      </c>
      <c r="C331" s="8" t="s">
        <v>189</v>
      </c>
      <c r="D331" s="9">
        <v>12900</v>
      </c>
      <c r="F331" s="10" t="s">
        <v>447</v>
      </c>
      <c r="G331" s="10" t="s">
        <v>155</v>
      </c>
      <c r="H331" s="11">
        <v>17000</v>
      </c>
      <c r="J331" s="10" t="s">
        <v>550</v>
      </c>
      <c r="K331" s="10" t="s">
        <v>130</v>
      </c>
      <c r="L331" s="11">
        <v>95200</v>
      </c>
      <c r="M331" t="s">
        <v>567</v>
      </c>
    </row>
    <row r="332" spans="2:13" ht="12.75">
      <c r="B332" s="10" t="s">
        <v>159</v>
      </c>
      <c r="C332" s="10" t="s">
        <v>119</v>
      </c>
      <c r="D332" s="11">
        <v>12800</v>
      </c>
      <c r="F332" s="8" t="s">
        <v>448</v>
      </c>
      <c r="G332" s="8" t="s">
        <v>119</v>
      </c>
      <c r="H332" s="9">
        <v>23300</v>
      </c>
      <c r="J332" s="10" t="s">
        <v>455</v>
      </c>
      <c r="K332" s="10" t="s">
        <v>130</v>
      </c>
      <c r="L332" s="11">
        <v>57300</v>
      </c>
      <c r="M332" t="s">
        <v>567</v>
      </c>
    </row>
    <row r="333" spans="2:13" ht="12.75">
      <c r="B333" s="10" t="s">
        <v>165</v>
      </c>
      <c r="C333" s="10" t="s">
        <v>109</v>
      </c>
      <c r="D333" s="11">
        <v>12800</v>
      </c>
      <c r="F333" s="10" t="s">
        <v>449</v>
      </c>
      <c r="G333" s="10" t="s">
        <v>143</v>
      </c>
      <c r="H333" s="11">
        <v>8700</v>
      </c>
      <c r="J333" s="10" t="s">
        <v>129</v>
      </c>
      <c r="K333" s="10" t="s">
        <v>130</v>
      </c>
      <c r="L333" s="11">
        <v>52000</v>
      </c>
      <c r="M333" t="s">
        <v>567</v>
      </c>
    </row>
    <row r="334" spans="2:13" ht="12.75">
      <c r="B334" s="10" t="s">
        <v>198</v>
      </c>
      <c r="C334" s="10" t="s">
        <v>146</v>
      </c>
      <c r="D334" s="11">
        <v>12800</v>
      </c>
      <c r="F334" s="8" t="s">
        <v>450</v>
      </c>
      <c r="G334" s="8" t="s">
        <v>111</v>
      </c>
      <c r="H334" s="9">
        <v>58500</v>
      </c>
      <c r="J334" s="10" t="s">
        <v>222</v>
      </c>
      <c r="K334" s="10" t="s">
        <v>130</v>
      </c>
      <c r="L334" s="11">
        <v>35300</v>
      </c>
      <c r="M334" t="s">
        <v>567</v>
      </c>
    </row>
    <row r="335" spans="2:13" ht="12.75">
      <c r="B335" s="10" t="s">
        <v>291</v>
      </c>
      <c r="C335" s="10" t="s">
        <v>292</v>
      </c>
      <c r="D335" s="11">
        <v>12800</v>
      </c>
      <c r="F335" s="10" t="s">
        <v>451</v>
      </c>
      <c r="G335" s="10" t="s">
        <v>255</v>
      </c>
      <c r="H335" s="11">
        <v>245000</v>
      </c>
      <c r="J335" s="10" t="s">
        <v>353</v>
      </c>
      <c r="K335" s="10" t="s">
        <v>130</v>
      </c>
      <c r="L335" s="11">
        <v>31500</v>
      </c>
      <c r="M335" t="s">
        <v>567</v>
      </c>
    </row>
    <row r="336" spans="2:13" ht="12.75">
      <c r="B336" s="8" t="s">
        <v>390</v>
      </c>
      <c r="C336" s="8" t="s">
        <v>132</v>
      </c>
      <c r="D336" s="9">
        <v>12800</v>
      </c>
      <c r="F336" s="8" t="s">
        <v>452</v>
      </c>
      <c r="G336" s="8" t="s">
        <v>172</v>
      </c>
      <c r="H336" s="9">
        <v>8800</v>
      </c>
      <c r="J336" s="10" t="s">
        <v>348</v>
      </c>
      <c r="K336" s="10" t="s">
        <v>130</v>
      </c>
      <c r="L336" s="11">
        <v>26200</v>
      </c>
      <c r="M336" t="s">
        <v>567</v>
      </c>
    </row>
    <row r="337" spans="2:13" ht="12.75">
      <c r="B337" s="10" t="s">
        <v>561</v>
      </c>
      <c r="C337" s="10" t="s">
        <v>135</v>
      </c>
      <c r="D337" s="11">
        <v>12800</v>
      </c>
      <c r="F337" s="10" t="s">
        <v>453</v>
      </c>
      <c r="G337" s="10" t="s">
        <v>107</v>
      </c>
      <c r="H337" s="11">
        <v>13600</v>
      </c>
      <c r="J337" s="8" t="s">
        <v>517</v>
      </c>
      <c r="K337" s="8" t="s">
        <v>130</v>
      </c>
      <c r="L337" s="9">
        <v>25800</v>
      </c>
      <c r="M337" t="s">
        <v>567</v>
      </c>
    </row>
    <row r="338" spans="2:13" ht="12.75">
      <c r="B338" s="8" t="s">
        <v>529</v>
      </c>
      <c r="C338" s="8" t="s">
        <v>146</v>
      </c>
      <c r="D338" s="9">
        <v>12700</v>
      </c>
      <c r="F338" s="8" t="s">
        <v>454</v>
      </c>
      <c r="G338" s="8" t="s">
        <v>161</v>
      </c>
      <c r="H338" s="9">
        <v>14500</v>
      </c>
      <c r="J338" s="8" t="s">
        <v>440</v>
      </c>
      <c r="K338" s="8" t="s">
        <v>130</v>
      </c>
      <c r="L338" s="9">
        <v>19200</v>
      </c>
      <c r="M338" t="s">
        <v>567</v>
      </c>
    </row>
    <row r="339" spans="2:13" ht="12.75">
      <c r="B339" s="8" t="s">
        <v>503</v>
      </c>
      <c r="C339" s="8" t="s">
        <v>163</v>
      </c>
      <c r="D339" s="9">
        <v>12300</v>
      </c>
      <c r="F339" s="10" t="s">
        <v>455</v>
      </c>
      <c r="G339" s="10" t="s">
        <v>130</v>
      </c>
      <c r="H339" s="11">
        <v>57300</v>
      </c>
      <c r="J339" s="10" t="s">
        <v>150</v>
      </c>
      <c r="K339" s="10" t="s">
        <v>130</v>
      </c>
      <c r="L339" s="11">
        <v>18800</v>
      </c>
      <c r="M339" t="s">
        <v>567</v>
      </c>
    </row>
    <row r="340" spans="2:13" ht="12.75">
      <c r="B340" s="10" t="s">
        <v>173</v>
      </c>
      <c r="C340" s="10" t="s">
        <v>138</v>
      </c>
      <c r="D340" s="11">
        <v>12200</v>
      </c>
      <c r="F340" s="8" t="s">
        <v>456</v>
      </c>
      <c r="G340" s="8" t="s">
        <v>111</v>
      </c>
      <c r="H340" s="9">
        <v>74100</v>
      </c>
      <c r="J340" s="10" t="s">
        <v>182</v>
      </c>
      <c r="K340" s="10" t="s">
        <v>130</v>
      </c>
      <c r="L340" s="11">
        <v>11400</v>
      </c>
      <c r="M340" t="s">
        <v>567</v>
      </c>
    </row>
    <row r="341" spans="2:13" ht="12.75">
      <c r="B341" s="10" t="s">
        <v>176</v>
      </c>
      <c r="C341" s="10" t="s">
        <v>157</v>
      </c>
      <c r="D341" s="11">
        <v>12100</v>
      </c>
      <c r="F341" s="8" t="s">
        <v>457</v>
      </c>
      <c r="G341" s="8" t="s">
        <v>146</v>
      </c>
      <c r="H341" s="9">
        <v>5100</v>
      </c>
      <c r="J341" s="10" t="s">
        <v>210</v>
      </c>
      <c r="K341" s="10" t="s">
        <v>130</v>
      </c>
      <c r="L341" s="11">
        <v>8900</v>
      </c>
      <c r="M341" t="s">
        <v>567</v>
      </c>
    </row>
    <row r="342" spans="2:13" ht="12.75">
      <c r="B342" s="10" t="s">
        <v>232</v>
      </c>
      <c r="C342" s="10" t="s">
        <v>111</v>
      </c>
      <c r="D342" s="11">
        <v>12100</v>
      </c>
      <c r="F342" s="8" t="s">
        <v>458</v>
      </c>
      <c r="G342" s="8" t="s">
        <v>114</v>
      </c>
      <c r="H342" s="9">
        <v>30600</v>
      </c>
      <c r="J342" s="10" t="s">
        <v>470</v>
      </c>
      <c r="K342" s="10" t="s">
        <v>130</v>
      </c>
      <c r="L342" s="11">
        <v>8000</v>
      </c>
      <c r="M342" t="s">
        <v>568</v>
      </c>
    </row>
    <row r="343" spans="2:13" ht="12.75">
      <c r="B343" s="10" t="s">
        <v>543</v>
      </c>
      <c r="C343" s="10" t="s">
        <v>189</v>
      </c>
      <c r="D343" s="11">
        <v>12000</v>
      </c>
      <c r="F343" s="10" t="s">
        <v>459</v>
      </c>
      <c r="G343" s="10" t="s">
        <v>146</v>
      </c>
      <c r="H343" s="11">
        <v>39900</v>
      </c>
      <c r="J343" s="10" t="s">
        <v>251</v>
      </c>
      <c r="K343" s="10" t="s">
        <v>130</v>
      </c>
      <c r="L343" s="11">
        <v>6600</v>
      </c>
      <c r="M343" t="s">
        <v>568</v>
      </c>
    </row>
    <row r="344" spans="2:13" ht="12.75">
      <c r="B344" s="10" t="s">
        <v>167</v>
      </c>
      <c r="C344" s="10" t="s">
        <v>138</v>
      </c>
      <c r="D344" s="11">
        <v>11900</v>
      </c>
      <c r="F344" s="8" t="s">
        <v>460</v>
      </c>
      <c r="G344" s="8" t="s">
        <v>255</v>
      </c>
      <c r="H344" s="9">
        <v>31100</v>
      </c>
      <c r="J344" s="8" t="s">
        <v>511</v>
      </c>
      <c r="K344" s="8" t="s">
        <v>157</v>
      </c>
      <c r="L344" s="9">
        <v>235000</v>
      </c>
      <c r="M344" t="s">
        <v>567</v>
      </c>
    </row>
    <row r="345" spans="2:13" ht="12.75">
      <c r="B345" s="10" t="s">
        <v>236</v>
      </c>
      <c r="C345" s="10" t="s">
        <v>206</v>
      </c>
      <c r="D345" s="11">
        <v>11900</v>
      </c>
      <c r="F345" s="10" t="s">
        <v>461</v>
      </c>
      <c r="G345" s="10" t="s">
        <v>155</v>
      </c>
      <c r="H345" s="11">
        <v>18600</v>
      </c>
      <c r="J345" s="10" t="s">
        <v>545</v>
      </c>
      <c r="K345" s="10" t="s">
        <v>157</v>
      </c>
      <c r="L345" s="11">
        <v>30200</v>
      </c>
      <c r="M345" t="s">
        <v>567</v>
      </c>
    </row>
    <row r="346" spans="2:13" ht="12.75">
      <c r="B346" s="8" t="s">
        <v>381</v>
      </c>
      <c r="C346" s="8" t="s">
        <v>107</v>
      </c>
      <c r="D346" s="9">
        <v>11900</v>
      </c>
      <c r="F346" s="8" t="s">
        <v>462</v>
      </c>
      <c r="G346" s="8" t="s">
        <v>111</v>
      </c>
      <c r="H346" s="9">
        <v>20800</v>
      </c>
      <c r="J346" s="10" t="s">
        <v>344</v>
      </c>
      <c r="K346" s="10" t="s">
        <v>157</v>
      </c>
      <c r="L346" s="11">
        <v>23900</v>
      </c>
      <c r="M346" t="s">
        <v>567</v>
      </c>
    </row>
    <row r="347" spans="2:13" ht="12.75">
      <c r="B347" s="8" t="s">
        <v>386</v>
      </c>
      <c r="C347" s="8" t="s">
        <v>135</v>
      </c>
      <c r="D347" s="9">
        <v>11900</v>
      </c>
      <c r="F347" s="10" t="s">
        <v>463</v>
      </c>
      <c r="G347" s="10" t="s">
        <v>111</v>
      </c>
      <c r="H347" s="11">
        <v>83700</v>
      </c>
      <c r="J347" s="10" t="s">
        <v>156</v>
      </c>
      <c r="K347" s="10" t="s">
        <v>157</v>
      </c>
      <c r="L347" s="11">
        <v>18100</v>
      </c>
      <c r="M347" t="s">
        <v>567</v>
      </c>
    </row>
    <row r="348" spans="2:13" ht="12.75">
      <c r="B348" s="10" t="s">
        <v>275</v>
      </c>
      <c r="C348" s="10" t="s">
        <v>111</v>
      </c>
      <c r="D348" s="11">
        <v>11700</v>
      </c>
      <c r="F348" s="8" t="s">
        <v>464</v>
      </c>
      <c r="G348" s="8" t="s">
        <v>109</v>
      </c>
      <c r="H348" s="9">
        <v>57900</v>
      </c>
      <c r="J348" s="8" t="s">
        <v>509</v>
      </c>
      <c r="K348" s="8" t="s">
        <v>157</v>
      </c>
      <c r="L348" s="9">
        <v>15400</v>
      </c>
      <c r="M348" t="s">
        <v>567</v>
      </c>
    </row>
    <row r="349" spans="2:13" ht="12.75">
      <c r="B349" s="10" t="s">
        <v>315</v>
      </c>
      <c r="C349" s="10" t="s">
        <v>214</v>
      </c>
      <c r="D349" s="11">
        <v>11700</v>
      </c>
      <c r="F349" s="10" t="s">
        <v>465</v>
      </c>
      <c r="G349" s="10" t="s">
        <v>107</v>
      </c>
      <c r="H349" s="11">
        <v>13300</v>
      </c>
      <c r="J349" s="10" t="s">
        <v>269</v>
      </c>
      <c r="K349" s="10" t="s">
        <v>157</v>
      </c>
      <c r="L349" s="11">
        <v>14600</v>
      </c>
      <c r="M349" t="s">
        <v>567</v>
      </c>
    </row>
    <row r="350" spans="2:13" ht="12.75">
      <c r="B350" s="10" t="s">
        <v>136</v>
      </c>
      <c r="C350" s="10" t="s">
        <v>132</v>
      </c>
      <c r="D350" s="11">
        <v>11600</v>
      </c>
      <c r="F350" s="8" t="s">
        <v>292</v>
      </c>
      <c r="G350" s="8" t="s">
        <v>292</v>
      </c>
      <c r="H350" s="9">
        <v>360000</v>
      </c>
      <c r="J350" s="10" t="s">
        <v>184</v>
      </c>
      <c r="K350" s="10" t="s">
        <v>157</v>
      </c>
      <c r="L350" s="11">
        <v>14200</v>
      </c>
      <c r="M350" t="s">
        <v>567</v>
      </c>
    </row>
    <row r="351" spans="2:13" ht="12.75">
      <c r="B351" s="10" t="s">
        <v>263</v>
      </c>
      <c r="C351" s="10" t="s">
        <v>146</v>
      </c>
      <c r="D351" s="11">
        <v>11600</v>
      </c>
      <c r="F351" s="10" t="s">
        <v>466</v>
      </c>
      <c r="G351" s="10" t="s">
        <v>111</v>
      </c>
      <c r="H351" s="11">
        <v>131000</v>
      </c>
      <c r="J351" s="10" t="s">
        <v>176</v>
      </c>
      <c r="K351" s="10" t="s">
        <v>157</v>
      </c>
      <c r="L351" s="11">
        <v>12100</v>
      </c>
      <c r="M351" t="s">
        <v>567</v>
      </c>
    </row>
    <row r="352" spans="2:13" ht="12.75">
      <c r="B352" s="10" t="s">
        <v>304</v>
      </c>
      <c r="C352" s="10" t="s">
        <v>161</v>
      </c>
      <c r="D352" s="11">
        <v>11600</v>
      </c>
      <c r="F352" s="8" t="s">
        <v>467</v>
      </c>
      <c r="G352" s="8" t="s">
        <v>107</v>
      </c>
      <c r="H352" s="9">
        <v>13500</v>
      </c>
      <c r="J352" s="10" t="s">
        <v>266</v>
      </c>
      <c r="K352" s="10" t="s">
        <v>157</v>
      </c>
      <c r="L352" s="11">
        <v>11300</v>
      </c>
      <c r="M352" t="s">
        <v>567</v>
      </c>
    </row>
    <row r="353" spans="2:13" ht="12.75">
      <c r="B353" s="10" t="s">
        <v>427</v>
      </c>
      <c r="C353" s="10" t="s">
        <v>135</v>
      </c>
      <c r="D353" s="11">
        <v>11500</v>
      </c>
      <c r="F353" s="10" t="s">
        <v>468</v>
      </c>
      <c r="G353" s="10" t="s">
        <v>107</v>
      </c>
      <c r="H353" s="11">
        <v>28600</v>
      </c>
      <c r="J353" s="8" t="s">
        <v>435</v>
      </c>
      <c r="K353" s="8" t="s">
        <v>157</v>
      </c>
      <c r="L353" s="9">
        <v>8700</v>
      </c>
      <c r="M353" t="s">
        <v>567</v>
      </c>
    </row>
    <row r="354" spans="2:13" ht="12.75">
      <c r="B354" s="10" t="s">
        <v>506</v>
      </c>
      <c r="C354" s="10" t="s">
        <v>119</v>
      </c>
      <c r="D354" s="11">
        <v>11500</v>
      </c>
      <c r="F354" s="8" t="s">
        <v>469</v>
      </c>
      <c r="G354" s="8" t="s">
        <v>138</v>
      </c>
      <c r="H354" s="9">
        <v>9400</v>
      </c>
      <c r="J354" s="10" t="s">
        <v>270</v>
      </c>
      <c r="K354" s="10" t="s">
        <v>157</v>
      </c>
      <c r="L354" s="11">
        <v>8100</v>
      </c>
      <c r="M354" t="s">
        <v>567</v>
      </c>
    </row>
    <row r="355" spans="2:13" ht="12.75">
      <c r="B355" s="10" t="s">
        <v>182</v>
      </c>
      <c r="C355" s="10" t="s">
        <v>130</v>
      </c>
      <c r="D355" s="11">
        <v>11400</v>
      </c>
      <c r="F355" s="10" t="s">
        <v>470</v>
      </c>
      <c r="G355" s="10" t="s">
        <v>130</v>
      </c>
      <c r="H355" s="11">
        <v>8000</v>
      </c>
      <c r="J355" s="8" t="s">
        <v>531</v>
      </c>
      <c r="K355" s="8" t="s">
        <v>157</v>
      </c>
      <c r="L355" s="9">
        <v>7600</v>
      </c>
      <c r="M355" t="s">
        <v>568</v>
      </c>
    </row>
    <row r="356" spans="2:13" ht="12.75">
      <c r="B356" s="10" t="s">
        <v>288</v>
      </c>
      <c r="C356" s="10" t="s">
        <v>135</v>
      </c>
      <c r="D356" s="11">
        <v>11400</v>
      </c>
      <c r="F356" s="8" t="s">
        <v>26</v>
      </c>
      <c r="G356" s="8" t="s">
        <v>114</v>
      </c>
      <c r="H356" s="9">
        <v>344000</v>
      </c>
      <c r="J356" s="10" t="s">
        <v>326</v>
      </c>
      <c r="K356" s="10" t="s">
        <v>157</v>
      </c>
      <c r="L356" s="11">
        <v>7400</v>
      </c>
      <c r="M356" t="s">
        <v>568</v>
      </c>
    </row>
    <row r="357" spans="2:13" ht="12.75">
      <c r="B357" s="10" t="s">
        <v>318</v>
      </c>
      <c r="C357" s="10" t="s">
        <v>119</v>
      </c>
      <c r="D357" s="11">
        <v>11400</v>
      </c>
      <c r="F357" s="10" t="s">
        <v>471</v>
      </c>
      <c r="G357" s="10" t="s">
        <v>124</v>
      </c>
      <c r="H357" s="11">
        <v>36400</v>
      </c>
      <c r="J357" s="10" t="s">
        <v>378</v>
      </c>
      <c r="K357" s="10" t="s">
        <v>157</v>
      </c>
      <c r="L357" s="11">
        <v>6900</v>
      </c>
      <c r="M357" t="s">
        <v>568</v>
      </c>
    </row>
    <row r="358" spans="2:13" ht="12.75">
      <c r="B358" s="8" t="s">
        <v>433</v>
      </c>
      <c r="C358" s="8" t="s">
        <v>109</v>
      </c>
      <c r="D358" s="9">
        <v>11400</v>
      </c>
      <c r="F358" s="8" t="s">
        <v>472</v>
      </c>
      <c r="G358" s="8" t="s">
        <v>163</v>
      </c>
      <c r="H358" s="9">
        <v>22000</v>
      </c>
      <c r="J358" s="10" t="s">
        <v>473</v>
      </c>
      <c r="K358" s="10" t="s">
        <v>157</v>
      </c>
      <c r="L358" s="11">
        <v>4500</v>
      </c>
      <c r="M358" t="s">
        <v>568</v>
      </c>
    </row>
    <row r="359" spans="2:13" ht="12.75">
      <c r="B359" s="10" t="s">
        <v>532</v>
      </c>
      <c r="C359" s="10" t="s">
        <v>192</v>
      </c>
      <c r="D359" s="11">
        <v>11400</v>
      </c>
      <c r="F359" s="10" t="s">
        <v>473</v>
      </c>
      <c r="G359" s="10" t="s">
        <v>157</v>
      </c>
      <c r="H359" s="11">
        <v>4500</v>
      </c>
      <c r="J359" s="8" t="s">
        <v>428</v>
      </c>
      <c r="K359" s="8" t="s">
        <v>157</v>
      </c>
      <c r="L359" s="9">
        <v>3800</v>
      </c>
      <c r="M359" t="s">
        <v>568</v>
      </c>
    </row>
    <row r="360" spans="2:13" ht="12.75">
      <c r="B360" s="10" t="s">
        <v>266</v>
      </c>
      <c r="C360" s="10" t="s">
        <v>157</v>
      </c>
      <c r="D360" s="11">
        <v>11300</v>
      </c>
      <c r="F360" s="8" t="s">
        <v>474</v>
      </c>
      <c r="G360" s="8" t="s">
        <v>143</v>
      </c>
      <c r="H360" s="9">
        <v>18700</v>
      </c>
      <c r="J360" s="10" t="s">
        <v>525</v>
      </c>
      <c r="K360" s="10" t="s">
        <v>132</v>
      </c>
      <c r="L360" s="11">
        <v>1500000</v>
      </c>
      <c r="M360" t="s">
        <v>567</v>
      </c>
    </row>
    <row r="361" spans="2:13" ht="12.75">
      <c r="B361" s="10" t="s">
        <v>485</v>
      </c>
      <c r="C361" s="10" t="s">
        <v>192</v>
      </c>
      <c r="D361" s="11">
        <v>11300</v>
      </c>
      <c r="F361" s="10" t="s">
        <v>475</v>
      </c>
      <c r="G361" s="10" t="s">
        <v>146</v>
      </c>
      <c r="H361" s="11">
        <v>6500</v>
      </c>
      <c r="J361" s="10" t="s">
        <v>355</v>
      </c>
      <c r="K361" s="10" t="s">
        <v>132</v>
      </c>
      <c r="L361" s="11">
        <v>60900</v>
      </c>
      <c r="M361" t="s">
        <v>567</v>
      </c>
    </row>
    <row r="362" spans="2:13" ht="12.75">
      <c r="B362" s="10" t="s">
        <v>171</v>
      </c>
      <c r="C362" s="10" t="s">
        <v>172</v>
      </c>
      <c r="D362" s="11">
        <v>11200</v>
      </c>
      <c r="F362" s="8" t="s">
        <v>476</v>
      </c>
      <c r="G362" s="8" t="s">
        <v>206</v>
      </c>
      <c r="H362" s="9">
        <v>37800</v>
      </c>
      <c r="J362" s="10" t="s">
        <v>285</v>
      </c>
      <c r="K362" s="10" t="s">
        <v>132</v>
      </c>
      <c r="L362" s="11">
        <v>54300</v>
      </c>
      <c r="M362" t="s">
        <v>567</v>
      </c>
    </row>
    <row r="363" spans="2:13" ht="12.75">
      <c r="B363" s="10" t="s">
        <v>302</v>
      </c>
      <c r="C363" s="10" t="s">
        <v>146</v>
      </c>
      <c r="D363" s="11">
        <v>11200</v>
      </c>
      <c r="F363" s="10" t="s">
        <v>477</v>
      </c>
      <c r="G363" s="10" t="s">
        <v>143</v>
      </c>
      <c r="H363" s="11">
        <v>26400</v>
      </c>
      <c r="J363" s="8" t="s">
        <v>546</v>
      </c>
      <c r="K363" s="8" t="s">
        <v>132</v>
      </c>
      <c r="L363" s="9">
        <v>34100</v>
      </c>
      <c r="M363" t="s">
        <v>567</v>
      </c>
    </row>
    <row r="364" spans="2:13" ht="12.75">
      <c r="B364" s="8" t="s">
        <v>521</v>
      </c>
      <c r="C364" s="8" t="s">
        <v>155</v>
      </c>
      <c r="D364" s="9">
        <v>11200</v>
      </c>
      <c r="F364" s="8" t="s">
        <v>478</v>
      </c>
      <c r="G364" s="8" t="s">
        <v>107</v>
      </c>
      <c r="H364" s="9">
        <v>5400</v>
      </c>
      <c r="J364" s="10" t="s">
        <v>350</v>
      </c>
      <c r="K364" s="10" t="s">
        <v>132</v>
      </c>
      <c r="L364" s="11">
        <v>30900</v>
      </c>
      <c r="M364" t="s">
        <v>567</v>
      </c>
    </row>
    <row r="365" spans="2:13" ht="12.75">
      <c r="B365" s="10" t="s">
        <v>120</v>
      </c>
      <c r="C365" s="10" t="s">
        <v>121</v>
      </c>
      <c r="D365" s="11">
        <v>11100</v>
      </c>
      <c r="F365" s="10" t="s">
        <v>479</v>
      </c>
      <c r="G365" s="10" t="s">
        <v>107</v>
      </c>
      <c r="H365" s="11">
        <v>131000</v>
      </c>
      <c r="J365" s="10" t="s">
        <v>131</v>
      </c>
      <c r="K365" s="10" t="s">
        <v>132</v>
      </c>
      <c r="L365" s="11">
        <v>30600</v>
      </c>
      <c r="M365" t="s">
        <v>567</v>
      </c>
    </row>
    <row r="366" spans="2:13" ht="12.75">
      <c r="B366" s="10" t="s">
        <v>445</v>
      </c>
      <c r="C366" s="10" t="s">
        <v>255</v>
      </c>
      <c r="D366" s="11">
        <v>11100</v>
      </c>
      <c r="F366" s="8" t="s">
        <v>480</v>
      </c>
      <c r="G366" s="8" t="s">
        <v>189</v>
      </c>
      <c r="H366" s="9">
        <v>81200</v>
      </c>
      <c r="J366" s="10" t="s">
        <v>371</v>
      </c>
      <c r="K366" s="10" t="s">
        <v>132</v>
      </c>
      <c r="L366" s="11">
        <v>22900</v>
      </c>
      <c r="M366" t="s">
        <v>567</v>
      </c>
    </row>
    <row r="367" spans="2:13" ht="12.75">
      <c r="B367" s="10" t="s">
        <v>211</v>
      </c>
      <c r="C367" s="10" t="s">
        <v>132</v>
      </c>
      <c r="D367" s="11">
        <v>11000</v>
      </c>
      <c r="F367" s="10" t="s">
        <v>481</v>
      </c>
      <c r="G367" s="10" t="s">
        <v>107</v>
      </c>
      <c r="H367" s="11">
        <v>68900</v>
      </c>
      <c r="J367" s="10" t="s">
        <v>362</v>
      </c>
      <c r="K367" s="10" t="s">
        <v>132</v>
      </c>
      <c r="L367" s="11">
        <v>22300</v>
      </c>
      <c r="M367" t="s">
        <v>567</v>
      </c>
    </row>
    <row r="368" spans="2:13" ht="12.75">
      <c r="B368" s="10" t="s">
        <v>483</v>
      </c>
      <c r="C368" s="10" t="s">
        <v>172</v>
      </c>
      <c r="D368" s="11">
        <v>10900</v>
      </c>
      <c r="F368" s="8" t="s">
        <v>482</v>
      </c>
      <c r="G368" s="8" t="s">
        <v>141</v>
      </c>
      <c r="H368" s="9">
        <v>17000</v>
      </c>
      <c r="J368" s="10" t="s">
        <v>339</v>
      </c>
      <c r="K368" s="10" t="s">
        <v>132</v>
      </c>
      <c r="L368" s="11">
        <v>21900</v>
      </c>
      <c r="M368" t="s">
        <v>567</v>
      </c>
    </row>
    <row r="369" spans="2:13" ht="12.75">
      <c r="B369" s="10" t="s">
        <v>368</v>
      </c>
      <c r="C369" s="10" t="s">
        <v>107</v>
      </c>
      <c r="D369" s="11">
        <v>10800</v>
      </c>
      <c r="F369" s="10" t="s">
        <v>483</v>
      </c>
      <c r="G369" s="10" t="s">
        <v>172</v>
      </c>
      <c r="H369" s="11">
        <v>10900</v>
      </c>
      <c r="J369" s="10" t="s">
        <v>207</v>
      </c>
      <c r="K369" s="10" t="s">
        <v>132</v>
      </c>
      <c r="L369" s="11">
        <v>19600</v>
      </c>
      <c r="M369" t="s">
        <v>567</v>
      </c>
    </row>
    <row r="370" spans="2:13" ht="12.75">
      <c r="B370" s="10" t="s">
        <v>185</v>
      </c>
      <c r="C370" s="10" t="s">
        <v>132</v>
      </c>
      <c r="D370" s="11">
        <v>10700</v>
      </c>
      <c r="F370" s="8" t="s">
        <v>484</v>
      </c>
      <c r="G370" s="8" t="s">
        <v>146</v>
      </c>
      <c r="H370" s="9">
        <v>22600</v>
      </c>
      <c r="J370" s="10" t="s">
        <v>237</v>
      </c>
      <c r="K370" s="10" t="s">
        <v>132</v>
      </c>
      <c r="L370" s="11">
        <v>19000</v>
      </c>
      <c r="M370" t="s">
        <v>567</v>
      </c>
    </row>
    <row r="371" spans="2:13" ht="12.75">
      <c r="B371" s="10" t="s">
        <v>256</v>
      </c>
      <c r="C371" s="10" t="s">
        <v>255</v>
      </c>
      <c r="D371" s="11">
        <v>10700</v>
      </c>
      <c r="F371" s="10" t="s">
        <v>485</v>
      </c>
      <c r="G371" s="10" t="s">
        <v>192</v>
      </c>
      <c r="H371" s="11">
        <v>11300</v>
      </c>
      <c r="J371" s="10" t="s">
        <v>168</v>
      </c>
      <c r="K371" s="10" t="s">
        <v>132</v>
      </c>
      <c r="L371" s="11">
        <v>16400</v>
      </c>
      <c r="M371" t="s">
        <v>567</v>
      </c>
    </row>
    <row r="372" spans="2:13" ht="12.75">
      <c r="B372" s="10" t="s">
        <v>491</v>
      </c>
      <c r="C372" s="10" t="s">
        <v>114</v>
      </c>
      <c r="D372" s="11">
        <v>10700</v>
      </c>
      <c r="F372" s="8" t="s">
        <v>486</v>
      </c>
      <c r="G372" s="8" t="s">
        <v>107</v>
      </c>
      <c r="H372" s="9">
        <v>13500</v>
      </c>
      <c r="J372" s="10" t="s">
        <v>276</v>
      </c>
      <c r="K372" s="10" t="s">
        <v>132</v>
      </c>
      <c r="L372" s="11">
        <v>16400</v>
      </c>
      <c r="M372" t="s">
        <v>567</v>
      </c>
    </row>
    <row r="373" spans="2:13" ht="12.75">
      <c r="B373" s="10" t="s">
        <v>197</v>
      </c>
      <c r="C373" s="10" t="s">
        <v>119</v>
      </c>
      <c r="D373" s="11">
        <v>10600</v>
      </c>
      <c r="F373" s="10" t="s">
        <v>487</v>
      </c>
      <c r="G373" s="10" t="s">
        <v>132</v>
      </c>
      <c r="H373" s="11">
        <v>13000</v>
      </c>
      <c r="J373" s="8" t="s">
        <v>390</v>
      </c>
      <c r="K373" s="8" t="s">
        <v>132</v>
      </c>
      <c r="L373" s="9">
        <v>12800</v>
      </c>
      <c r="M373" t="s">
        <v>567</v>
      </c>
    </row>
    <row r="374" spans="2:13" ht="12.75">
      <c r="B374" s="10" t="s">
        <v>294</v>
      </c>
      <c r="C374" s="10" t="s">
        <v>155</v>
      </c>
      <c r="D374" s="11">
        <v>10600</v>
      </c>
      <c r="F374" s="8" t="s">
        <v>488</v>
      </c>
      <c r="G374" s="8" t="s">
        <v>146</v>
      </c>
      <c r="H374" s="9">
        <v>13000</v>
      </c>
      <c r="J374" s="10" t="s">
        <v>136</v>
      </c>
      <c r="K374" s="10" t="s">
        <v>132</v>
      </c>
      <c r="L374" s="11">
        <v>11600</v>
      </c>
      <c r="M374" t="s">
        <v>567</v>
      </c>
    </row>
    <row r="375" spans="2:13" ht="12.75">
      <c r="B375" s="10" t="s">
        <v>147</v>
      </c>
      <c r="C375" s="10" t="s">
        <v>107</v>
      </c>
      <c r="D375" s="11">
        <v>10500</v>
      </c>
      <c r="F375" s="10" t="s">
        <v>489</v>
      </c>
      <c r="G375" s="10" t="s">
        <v>111</v>
      </c>
      <c r="H375" s="11">
        <v>23200</v>
      </c>
      <c r="J375" s="10" t="s">
        <v>185</v>
      </c>
      <c r="K375" s="10" t="s">
        <v>132</v>
      </c>
      <c r="L375" s="11">
        <v>10700</v>
      </c>
      <c r="M375" t="s">
        <v>567</v>
      </c>
    </row>
    <row r="376" spans="2:13" ht="12.75">
      <c r="B376" s="8" t="s">
        <v>398</v>
      </c>
      <c r="C376" s="8" t="s">
        <v>192</v>
      </c>
      <c r="D376" s="9">
        <v>10344</v>
      </c>
      <c r="F376" s="8" t="s">
        <v>490</v>
      </c>
      <c r="G376" s="8" t="s">
        <v>206</v>
      </c>
      <c r="H376" s="9">
        <v>36800</v>
      </c>
      <c r="J376" s="10" t="s">
        <v>280</v>
      </c>
      <c r="K376" s="10" t="s">
        <v>132</v>
      </c>
      <c r="L376" s="11">
        <v>10200</v>
      </c>
      <c r="M376" t="s">
        <v>567</v>
      </c>
    </row>
    <row r="377" spans="2:13" ht="12.75">
      <c r="B377" s="10" t="s">
        <v>113</v>
      </c>
      <c r="C377" s="10" t="s">
        <v>114</v>
      </c>
      <c r="D377" s="11">
        <v>10300</v>
      </c>
      <c r="F377" s="10" t="s">
        <v>491</v>
      </c>
      <c r="G377" s="10" t="s">
        <v>114</v>
      </c>
      <c r="H377" s="11">
        <v>10700</v>
      </c>
      <c r="J377" s="10" t="s">
        <v>572</v>
      </c>
      <c r="K377" s="10" t="s">
        <v>132</v>
      </c>
      <c r="L377" s="11">
        <v>5200</v>
      </c>
      <c r="M377" t="s">
        <v>567</v>
      </c>
    </row>
    <row r="378" spans="2:13" ht="12.75">
      <c r="B378" s="10" t="s">
        <v>195</v>
      </c>
      <c r="C378" s="10" t="s">
        <v>124</v>
      </c>
      <c r="D378" s="11">
        <v>10300</v>
      </c>
      <c r="F378" s="8" t="s">
        <v>492</v>
      </c>
      <c r="G378" s="8" t="s">
        <v>146</v>
      </c>
      <c r="H378" s="9">
        <v>6100</v>
      </c>
      <c r="J378" s="10" t="s">
        <v>573</v>
      </c>
      <c r="K378" s="10" t="s">
        <v>132</v>
      </c>
      <c r="L378" s="11">
        <v>5200</v>
      </c>
      <c r="M378" t="s">
        <v>567</v>
      </c>
    </row>
    <row r="379" spans="2:13" ht="12.75">
      <c r="B379" s="10" t="s">
        <v>274</v>
      </c>
      <c r="C379" s="10" t="s">
        <v>214</v>
      </c>
      <c r="D379" s="11">
        <v>10300</v>
      </c>
      <c r="F379" s="10" t="s">
        <v>493</v>
      </c>
      <c r="G379" s="10" t="s">
        <v>111</v>
      </c>
      <c r="H379" s="11">
        <v>99000</v>
      </c>
      <c r="J379" s="10" t="s">
        <v>574</v>
      </c>
      <c r="K379" s="10" t="s">
        <v>132</v>
      </c>
      <c r="L379" s="11">
        <v>5100</v>
      </c>
      <c r="M379" t="s">
        <v>567</v>
      </c>
    </row>
    <row r="380" spans="2:13" ht="12.75">
      <c r="B380" s="10" t="s">
        <v>436</v>
      </c>
      <c r="C380" s="10" t="s">
        <v>111</v>
      </c>
      <c r="D380" s="11">
        <v>10300</v>
      </c>
      <c r="F380" s="8" t="s">
        <v>494</v>
      </c>
      <c r="G380" s="8" t="s">
        <v>146</v>
      </c>
      <c r="H380" s="9">
        <v>22600</v>
      </c>
      <c r="J380" s="10" t="s">
        <v>317</v>
      </c>
      <c r="K380" s="10" t="s">
        <v>132</v>
      </c>
      <c r="L380" s="11">
        <v>19700</v>
      </c>
      <c r="M380" t="s">
        <v>568</v>
      </c>
    </row>
    <row r="381" spans="2:13" ht="12.75">
      <c r="B381" s="10" t="s">
        <v>227</v>
      </c>
      <c r="C381" s="10" t="s">
        <v>172</v>
      </c>
      <c r="D381" s="11">
        <v>10200</v>
      </c>
      <c r="F381" s="10" t="s">
        <v>495</v>
      </c>
      <c r="G381" s="10" t="s">
        <v>192</v>
      </c>
      <c r="H381" s="11">
        <v>15400</v>
      </c>
      <c r="J381" s="10" t="s">
        <v>323</v>
      </c>
      <c r="K381" s="10" t="s">
        <v>132</v>
      </c>
      <c r="L381" s="11">
        <v>15300</v>
      </c>
      <c r="M381" t="s">
        <v>568</v>
      </c>
    </row>
    <row r="382" spans="2:13" ht="12.75">
      <c r="B382" s="10" t="s">
        <v>280</v>
      </c>
      <c r="C382" s="10" t="s">
        <v>132</v>
      </c>
      <c r="D382" s="11">
        <v>10200</v>
      </c>
      <c r="F382" s="8" t="s">
        <v>496</v>
      </c>
      <c r="G382" s="8" t="s">
        <v>146</v>
      </c>
      <c r="H382" s="9">
        <v>68200</v>
      </c>
      <c r="J382" s="10" t="s">
        <v>487</v>
      </c>
      <c r="K382" s="10" t="s">
        <v>132</v>
      </c>
      <c r="L382" s="11">
        <v>13000</v>
      </c>
      <c r="M382" t="s">
        <v>568</v>
      </c>
    </row>
    <row r="383" spans="2:13" ht="12.75">
      <c r="B383" s="10" t="s">
        <v>361</v>
      </c>
      <c r="C383" s="10" t="s">
        <v>161</v>
      </c>
      <c r="D383" s="11">
        <v>10200</v>
      </c>
      <c r="F383" s="10" t="s">
        <v>497</v>
      </c>
      <c r="G383" s="10" t="s">
        <v>114</v>
      </c>
      <c r="H383" s="11">
        <v>18600</v>
      </c>
      <c r="J383" s="10" t="s">
        <v>211</v>
      </c>
      <c r="K383" s="10" t="s">
        <v>132</v>
      </c>
      <c r="L383" s="11">
        <v>11000</v>
      </c>
      <c r="M383" t="s">
        <v>568</v>
      </c>
    </row>
    <row r="384" spans="2:13" ht="12.75">
      <c r="B384" s="8" t="s">
        <v>439</v>
      </c>
      <c r="C384" s="8" t="s">
        <v>146</v>
      </c>
      <c r="D384" s="9">
        <v>10200</v>
      </c>
      <c r="F384" s="8" t="s">
        <v>498</v>
      </c>
      <c r="G384" s="8" t="s">
        <v>146</v>
      </c>
      <c r="H384" s="9">
        <v>7000</v>
      </c>
      <c r="J384" s="8" t="s">
        <v>430</v>
      </c>
      <c r="K384" s="8" t="s">
        <v>132</v>
      </c>
      <c r="L384" s="9">
        <v>10100</v>
      </c>
      <c r="M384" t="s">
        <v>568</v>
      </c>
    </row>
    <row r="385" spans="2:13" ht="12.75">
      <c r="B385" s="10" t="s">
        <v>508</v>
      </c>
      <c r="C385" s="10" t="s">
        <v>119</v>
      </c>
      <c r="D385" s="11">
        <v>10200</v>
      </c>
      <c r="F385" s="10" t="s">
        <v>499</v>
      </c>
      <c r="G385" s="10" t="s">
        <v>130</v>
      </c>
      <c r="H385" s="11">
        <v>302000</v>
      </c>
      <c r="J385" s="8" t="s">
        <v>425</v>
      </c>
      <c r="K385" s="8" t="s">
        <v>132</v>
      </c>
      <c r="L385" s="9">
        <v>8500</v>
      </c>
      <c r="M385" t="s">
        <v>568</v>
      </c>
    </row>
    <row r="386" spans="2:13" ht="12.75">
      <c r="B386" s="10" t="s">
        <v>231</v>
      </c>
      <c r="C386" s="10" t="s">
        <v>161</v>
      </c>
      <c r="D386" s="11">
        <v>10100</v>
      </c>
      <c r="F386" s="8" t="s">
        <v>500</v>
      </c>
      <c r="G386" s="8" t="s">
        <v>111</v>
      </c>
      <c r="H386" s="9">
        <v>24300</v>
      </c>
      <c r="J386" s="10" t="s">
        <v>418</v>
      </c>
      <c r="K386" s="10" t="s">
        <v>132</v>
      </c>
      <c r="L386" s="11">
        <v>31200</v>
      </c>
      <c r="M386" t="s">
        <v>568</v>
      </c>
    </row>
    <row r="387" spans="2:13" ht="12.75">
      <c r="B387" s="8" t="s">
        <v>430</v>
      </c>
      <c r="C387" s="8" t="s">
        <v>132</v>
      </c>
      <c r="D387" s="9">
        <v>10100</v>
      </c>
      <c r="F387" s="10" t="s">
        <v>502</v>
      </c>
      <c r="G387" s="10" t="s">
        <v>111</v>
      </c>
      <c r="H387" s="11">
        <v>13600</v>
      </c>
      <c r="J387" s="10" t="s">
        <v>423</v>
      </c>
      <c r="K387" s="10" t="s">
        <v>132</v>
      </c>
      <c r="L387" s="11">
        <v>19900</v>
      </c>
      <c r="M387" t="s">
        <v>568</v>
      </c>
    </row>
    <row r="388" spans="2:13" ht="12.75">
      <c r="B388" s="10" t="s">
        <v>268</v>
      </c>
      <c r="C388" s="10" t="s">
        <v>192</v>
      </c>
      <c r="D388" s="11">
        <v>10000</v>
      </c>
      <c r="F388" s="8" t="s">
        <v>503</v>
      </c>
      <c r="G388" s="8" t="s">
        <v>163</v>
      </c>
      <c r="H388" s="9">
        <v>12300</v>
      </c>
      <c r="J388" s="8" t="s">
        <v>53</v>
      </c>
      <c r="K388" s="8" t="s">
        <v>163</v>
      </c>
      <c r="L388" s="9">
        <v>361000</v>
      </c>
      <c r="M388" t="s">
        <v>567</v>
      </c>
    </row>
    <row r="389" spans="2:13" ht="12.75">
      <c r="B389" s="8" t="s">
        <v>399</v>
      </c>
      <c r="C389" s="8" t="s">
        <v>111</v>
      </c>
      <c r="D389" s="9">
        <v>9900</v>
      </c>
      <c r="F389" s="10" t="s">
        <v>504</v>
      </c>
      <c r="G389" s="10" t="s">
        <v>189</v>
      </c>
      <c r="H389" s="11">
        <v>16900</v>
      </c>
      <c r="J389" s="10" t="s">
        <v>391</v>
      </c>
      <c r="K389" s="10" t="s">
        <v>163</v>
      </c>
      <c r="L389" s="11">
        <v>59000</v>
      </c>
      <c r="M389" t="s">
        <v>567</v>
      </c>
    </row>
    <row r="390" spans="2:13" ht="12.75">
      <c r="B390" s="10" t="s">
        <v>127</v>
      </c>
      <c r="C390" s="10" t="s">
        <v>111</v>
      </c>
      <c r="D390" s="11">
        <v>9800</v>
      </c>
      <c r="F390" s="8" t="s">
        <v>505</v>
      </c>
      <c r="G390" s="8" t="s">
        <v>143</v>
      </c>
      <c r="H390" s="9">
        <v>14400</v>
      </c>
      <c r="J390" s="10" t="s">
        <v>307</v>
      </c>
      <c r="K390" s="10" t="s">
        <v>163</v>
      </c>
      <c r="L390" s="11">
        <v>41900</v>
      </c>
      <c r="M390" t="s">
        <v>567</v>
      </c>
    </row>
    <row r="391" spans="2:13" ht="12.75">
      <c r="B391" s="10" t="s">
        <v>118</v>
      </c>
      <c r="C391" s="10" t="s">
        <v>119</v>
      </c>
      <c r="D391" s="11">
        <v>9600</v>
      </c>
      <c r="F391" s="10" t="s">
        <v>506</v>
      </c>
      <c r="G391" s="10" t="s">
        <v>119</v>
      </c>
      <c r="H391" s="11">
        <v>11500</v>
      </c>
      <c r="J391" s="8" t="s">
        <v>535</v>
      </c>
      <c r="K391" s="8" t="s">
        <v>163</v>
      </c>
      <c r="L391" s="9">
        <v>26100</v>
      </c>
      <c r="M391" t="s">
        <v>567</v>
      </c>
    </row>
    <row r="392" spans="2:13" ht="12.75">
      <c r="B392" s="8" t="s">
        <v>538</v>
      </c>
      <c r="C392" s="8" t="s">
        <v>214</v>
      </c>
      <c r="D392" s="9">
        <v>9600</v>
      </c>
      <c r="F392" s="8" t="s">
        <v>507</v>
      </c>
      <c r="G392" s="8" t="s">
        <v>111</v>
      </c>
      <c r="H392" s="9">
        <v>15900</v>
      </c>
      <c r="J392" s="10" t="s">
        <v>218</v>
      </c>
      <c r="K392" s="10" t="s">
        <v>163</v>
      </c>
      <c r="L392" s="11">
        <v>22500</v>
      </c>
      <c r="M392" t="s">
        <v>567</v>
      </c>
    </row>
    <row r="393" spans="2:13" ht="12.75">
      <c r="B393" s="8" t="s">
        <v>544</v>
      </c>
      <c r="C393" s="8" t="s">
        <v>155</v>
      </c>
      <c r="D393" s="9">
        <v>9600</v>
      </c>
      <c r="F393" s="10" t="s">
        <v>508</v>
      </c>
      <c r="G393" s="10" t="s">
        <v>119</v>
      </c>
      <c r="H393" s="11">
        <v>10200</v>
      </c>
      <c r="J393" s="8" t="s">
        <v>472</v>
      </c>
      <c r="K393" s="8" t="s">
        <v>163</v>
      </c>
      <c r="L393" s="9">
        <v>22000</v>
      </c>
      <c r="M393" t="s">
        <v>567</v>
      </c>
    </row>
    <row r="394" spans="2:13" ht="12.75">
      <c r="B394" s="10" t="s">
        <v>327</v>
      </c>
      <c r="C394" s="10" t="s">
        <v>255</v>
      </c>
      <c r="D394" s="11">
        <v>9500</v>
      </c>
      <c r="F394" s="8" t="s">
        <v>509</v>
      </c>
      <c r="G394" s="8" t="s">
        <v>157</v>
      </c>
      <c r="H394" s="9">
        <v>15400</v>
      </c>
      <c r="J394" s="10" t="s">
        <v>162</v>
      </c>
      <c r="K394" s="10" t="s">
        <v>163</v>
      </c>
      <c r="L394" s="11">
        <v>16600</v>
      </c>
      <c r="M394" t="s">
        <v>567</v>
      </c>
    </row>
    <row r="395" spans="2:13" ht="12.75">
      <c r="B395" s="10" t="s">
        <v>379</v>
      </c>
      <c r="C395" s="10" t="s">
        <v>189</v>
      </c>
      <c r="D395" s="11">
        <v>9500</v>
      </c>
      <c r="F395" s="10" t="s">
        <v>510</v>
      </c>
      <c r="G395" s="10" t="s">
        <v>124</v>
      </c>
      <c r="H395" s="11">
        <v>32900</v>
      </c>
      <c r="J395" s="10" t="s">
        <v>224</v>
      </c>
      <c r="K395" s="10" t="s">
        <v>163</v>
      </c>
      <c r="L395" s="11">
        <v>15300</v>
      </c>
      <c r="M395" t="s">
        <v>567</v>
      </c>
    </row>
    <row r="396" spans="2:13" ht="12.75">
      <c r="B396" s="10" t="s">
        <v>380</v>
      </c>
      <c r="C396" s="10" t="s">
        <v>146</v>
      </c>
      <c r="D396" s="11">
        <v>9500</v>
      </c>
      <c r="F396" s="8" t="s">
        <v>511</v>
      </c>
      <c r="G396" s="8" t="s">
        <v>157</v>
      </c>
      <c r="H396" s="9">
        <v>235000</v>
      </c>
      <c r="J396" s="8" t="s">
        <v>503</v>
      </c>
      <c r="K396" s="8" t="s">
        <v>163</v>
      </c>
      <c r="L396" s="9">
        <v>12300</v>
      </c>
      <c r="M396" t="s">
        <v>567</v>
      </c>
    </row>
    <row r="397" spans="2:13" ht="12.75">
      <c r="B397" s="8" t="s">
        <v>513</v>
      </c>
      <c r="C397" s="8" t="s">
        <v>172</v>
      </c>
      <c r="D397" s="9">
        <v>9500</v>
      </c>
      <c r="F397" s="10" t="s">
        <v>512</v>
      </c>
      <c r="G397" s="10" t="s">
        <v>143</v>
      </c>
      <c r="H397" s="11">
        <v>15800</v>
      </c>
      <c r="J397" s="10" t="s">
        <v>528</v>
      </c>
      <c r="K397" s="10" t="s">
        <v>206</v>
      </c>
      <c r="L397" s="11">
        <v>260000</v>
      </c>
      <c r="M397" t="s">
        <v>567</v>
      </c>
    </row>
    <row r="398" spans="2:13" ht="12.75">
      <c r="B398" s="8" t="s">
        <v>442</v>
      </c>
      <c r="C398" s="8" t="s">
        <v>146</v>
      </c>
      <c r="D398" s="9">
        <v>9400</v>
      </c>
      <c r="F398" s="8" t="s">
        <v>513</v>
      </c>
      <c r="G398" s="8" t="s">
        <v>172</v>
      </c>
      <c r="H398" s="9">
        <v>9500</v>
      </c>
      <c r="J398" s="10" t="s">
        <v>300</v>
      </c>
      <c r="K398" s="10" t="s">
        <v>206</v>
      </c>
      <c r="L398" s="11">
        <v>108000</v>
      </c>
      <c r="M398" t="s">
        <v>567</v>
      </c>
    </row>
    <row r="399" spans="2:13" ht="12.75">
      <c r="B399" s="8" t="s">
        <v>469</v>
      </c>
      <c r="C399" s="8" t="s">
        <v>138</v>
      </c>
      <c r="D399" s="9">
        <v>9400</v>
      </c>
      <c r="F399" s="10" t="s">
        <v>514</v>
      </c>
      <c r="G399" s="10" t="s">
        <v>172</v>
      </c>
      <c r="H399" s="11">
        <v>9300</v>
      </c>
      <c r="J399" s="8" t="s">
        <v>549</v>
      </c>
      <c r="K399" s="8" t="s">
        <v>206</v>
      </c>
      <c r="L399" s="9">
        <v>51900</v>
      </c>
      <c r="M399" t="s">
        <v>567</v>
      </c>
    </row>
    <row r="400" spans="2:13" ht="12.75">
      <c r="B400" s="10" t="s">
        <v>332</v>
      </c>
      <c r="C400" s="10" t="s">
        <v>172</v>
      </c>
      <c r="D400" s="11">
        <v>9300</v>
      </c>
      <c r="F400" s="8" t="s">
        <v>515</v>
      </c>
      <c r="G400" s="8" t="s">
        <v>153</v>
      </c>
      <c r="H400" s="9">
        <v>42300</v>
      </c>
      <c r="J400" s="8" t="s">
        <v>476</v>
      </c>
      <c r="K400" s="8" t="s">
        <v>206</v>
      </c>
      <c r="L400" s="9">
        <v>37800</v>
      </c>
      <c r="M400" t="s">
        <v>567</v>
      </c>
    </row>
    <row r="401" spans="2:13" ht="12.75">
      <c r="B401" s="10" t="s">
        <v>443</v>
      </c>
      <c r="C401" s="10" t="s">
        <v>146</v>
      </c>
      <c r="D401" s="11">
        <v>9300</v>
      </c>
      <c r="F401" s="10" t="s">
        <v>516</v>
      </c>
      <c r="G401" s="10" t="s">
        <v>107</v>
      </c>
      <c r="H401" s="11">
        <v>89000</v>
      </c>
      <c r="J401" s="8" t="s">
        <v>490</v>
      </c>
      <c r="K401" s="8" t="s">
        <v>206</v>
      </c>
      <c r="L401" s="9">
        <v>36800</v>
      </c>
      <c r="M401" t="s">
        <v>567</v>
      </c>
    </row>
    <row r="402" spans="2:13" ht="12.75">
      <c r="B402" s="10" t="s">
        <v>514</v>
      </c>
      <c r="C402" s="10" t="s">
        <v>172</v>
      </c>
      <c r="D402" s="11">
        <v>9300</v>
      </c>
      <c r="F402" s="8" t="s">
        <v>517</v>
      </c>
      <c r="G402" s="8" t="s">
        <v>130</v>
      </c>
      <c r="H402" s="9">
        <v>25800</v>
      </c>
      <c r="J402" s="10" t="s">
        <v>387</v>
      </c>
      <c r="K402" s="10" t="s">
        <v>206</v>
      </c>
      <c r="L402" s="11">
        <v>36700</v>
      </c>
      <c r="M402" t="s">
        <v>567</v>
      </c>
    </row>
    <row r="403" spans="2:13" ht="12.75">
      <c r="B403" s="10" t="s">
        <v>253</v>
      </c>
      <c r="C403" s="10" t="s">
        <v>146</v>
      </c>
      <c r="D403" s="11">
        <v>9000</v>
      </c>
      <c r="F403" s="10" t="s">
        <v>518</v>
      </c>
      <c r="G403" s="10" t="s">
        <v>146</v>
      </c>
      <c r="H403" s="11">
        <v>34200</v>
      </c>
      <c r="J403" s="10" t="s">
        <v>432</v>
      </c>
      <c r="K403" s="10" t="s">
        <v>206</v>
      </c>
      <c r="L403" s="11">
        <v>24700</v>
      </c>
      <c r="M403" t="s">
        <v>567</v>
      </c>
    </row>
    <row r="404" spans="2:13" ht="12.75">
      <c r="B404" s="10" t="s">
        <v>210</v>
      </c>
      <c r="C404" s="10" t="s">
        <v>130</v>
      </c>
      <c r="D404" s="11">
        <v>8900</v>
      </c>
      <c r="F404" s="8" t="s">
        <v>519</v>
      </c>
      <c r="G404" s="8" t="s">
        <v>135</v>
      </c>
      <c r="H404" s="9">
        <v>16600</v>
      </c>
      <c r="J404" s="10" t="s">
        <v>205</v>
      </c>
      <c r="K404" s="10" t="s">
        <v>206</v>
      </c>
      <c r="L404" s="11">
        <v>24400</v>
      </c>
      <c r="M404" t="s">
        <v>567</v>
      </c>
    </row>
    <row r="405" spans="2:13" ht="12.75">
      <c r="B405" s="10" t="s">
        <v>281</v>
      </c>
      <c r="C405" s="10" t="s">
        <v>111</v>
      </c>
      <c r="D405" s="11">
        <v>8800</v>
      </c>
      <c r="F405" s="10" t="s">
        <v>520</v>
      </c>
      <c r="G405" s="10" t="s">
        <v>146</v>
      </c>
      <c r="H405" s="11">
        <v>7900</v>
      </c>
      <c r="J405" s="10" t="s">
        <v>336</v>
      </c>
      <c r="K405" s="10" t="s">
        <v>206</v>
      </c>
      <c r="L405" s="11">
        <v>22400</v>
      </c>
      <c r="M405" t="s">
        <v>567</v>
      </c>
    </row>
    <row r="406" spans="2:13" ht="12.75">
      <c r="B406" s="8" t="s">
        <v>452</v>
      </c>
      <c r="C406" s="8" t="s">
        <v>172</v>
      </c>
      <c r="D406" s="9">
        <v>8800</v>
      </c>
      <c r="F406" s="8" t="s">
        <v>521</v>
      </c>
      <c r="G406" s="8" t="s">
        <v>155</v>
      </c>
      <c r="H406" s="9">
        <v>11200</v>
      </c>
      <c r="J406" s="10" t="s">
        <v>257</v>
      </c>
      <c r="K406" s="10" t="s">
        <v>206</v>
      </c>
      <c r="L406" s="11">
        <v>18900</v>
      </c>
      <c r="M406" t="s">
        <v>567</v>
      </c>
    </row>
    <row r="407" spans="2:13" ht="12.75">
      <c r="B407" s="8" t="s">
        <v>562</v>
      </c>
      <c r="C407" s="8" t="s">
        <v>172</v>
      </c>
      <c r="D407" s="9">
        <v>8800</v>
      </c>
      <c r="F407" s="8" t="s">
        <v>522</v>
      </c>
      <c r="G407" s="8" t="s">
        <v>143</v>
      </c>
      <c r="H407" s="9">
        <v>54400</v>
      </c>
      <c r="J407" s="10" t="s">
        <v>230</v>
      </c>
      <c r="K407" s="10" t="s">
        <v>206</v>
      </c>
      <c r="L407" s="11">
        <v>18800</v>
      </c>
      <c r="M407" t="s">
        <v>567</v>
      </c>
    </row>
    <row r="408" spans="2:13" ht="12.75">
      <c r="B408" s="8" t="s">
        <v>435</v>
      </c>
      <c r="C408" s="8" t="s">
        <v>157</v>
      </c>
      <c r="D408" s="9">
        <v>8700</v>
      </c>
      <c r="F408" s="10" t="s">
        <v>523</v>
      </c>
      <c r="G408" s="10" t="s">
        <v>114</v>
      </c>
      <c r="H408" s="11">
        <v>85600</v>
      </c>
      <c r="J408" s="10" t="s">
        <v>286</v>
      </c>
      <c r="K408" s="10" t="s">
        <v>206</v>
      </c>
      <c r="L408" s="11">
        <v>18300</v>
      </c>
      <c r="M408" t="s">
        <v>567</v>
      </c>
    </row>
    <row r="409" spans="2:13" ht="12.75">
      <c r="B409" s="10" t="s">
        <v>449</v>
      </c>
      <c r="C409" s="10" t="s">
        <v>143</v>
      </c>
      <c r="D409" s="11">
        <v>8700</v>
      </c>
      <c r="F409" s="8" t="s">
        <v>524</v>
      </c>
      <c r="G409" s="8" t="s">
        <v>107</v>
      </c>
      <c r="H409" s="9">
        <v>69000</v>
      </c>
      <c r="J409" s="10" t="s">
        <v>236</v>
      </c>
      <c r="K409" s="10" t="s">
        <v>206</v>
      </c>
      <c r="L409" s="11">
        <v>11900</v>
      </c>
      <c r="M409" t="s">
        <v>567</v>
      </c>
    </row>
    <row r="410" spans="2:13" ht="12.75">
      <c r="B410" s="10" t="s">
        <v>382</v>
      </c>
      <c r="C410" s="10" t="s">
        <v>146</v>
      </c>
      <c r="D410" s="11">
        <v>8600</v>
      </c>
      <c r="F410" s="10" t="s">
        <v>525</v>
      </c>
      <c r="G410" s="10" t="s">
        <v>132</v>
      </c>
      <c r="H410" s="11">
        <v>1500000</v>
      </c>
      <c r="J410" s="8" t="s">
        <v>540</v>
      </c>
      <c r="K410" s="8" t="s">
        <v>189</v>
      </c>
      <c r="L410" s="9">
        <v>311000</v>
      </c>
      <c r="M410" t="s">
        <v>567</v>
      </c>
    </row>
    <row r="411" spans="2:13" ht="12.75">
      <c r="B411" s="8" t="s">
        <v>402</v>
      </c>
      <c r="C411" s="8" t="s">
        <v>192</v>
      </c>
      <c r="D411" s="9">
        <v>8600</v>
      </c>
      <c r="F411" s="8" t="s">
        <v>53</v>
      </c>
      <c r="G411" s="8" t="s">
        <v>163</v>
      </c>
      <c r="H411" s="9">
        <v>361000</v>
      </c>
      <c r="J411" s="8" t="s">
        <v>480</v>
      </c>
      <c r="K411" s="8" t="s">
        <v>189</v>
      </c>
      <c r="L411" s="9">
        <v>81200</v>
      </c>
      <c r="M411" t="s">
        <v>567</v>
      </c>
    </row>
    <row r="412" spans="2:13" ht="12.75">
      <c r="B412" s="10" t="s">
        <v>183</v>
      </c>
      <c r="C412" s="10" t="s">
        <v>146</v>
      </c>
      <c r="D412" s="11">
        <v>8500</v>
      </c>
      <c r="F412" s="10" t="s">
        <v>526</v>
      </c>
      <c r="G412" s="10" t="s">
        <v>146</v>
      </c>
      <c r="H412" s="11">
        <v>5000</v>
      </c>
      <c r="J412" s="10" t="s">
        <v>279</v>
      </c>
      <c r="K412" s="10" t="s">
        <v>189</v>
      </c>
      <c r="L412" s="11">
        <v>30700</v>
      </c>
      <c r="M412" t="s">
        <v>567</v>
      </c>
    </row>
    <row r="413" spans="2:13" ht="12.75">
      <c r="B413" s="8" t="s">
        <v>377</v>
      </c>
      <c r="C413" s="8" t="s">
        <v>153</v>
      </c>
      <c r="D413" s="9">
        <v>8500</v>
      </c>
      <c r="F413" s="8" t="s">
        <v>527</v>
      </c>
      <c r="G413" s="8" t="s">
        <v>135</v>
      </c>
      <c r="H413" s="9">
        <v>30500</v>
      </c>
      <c r="J413" s="10" t="s">
        <v>305</v>
      </c>
      <c r="K413" s="10" t="s">
        <v>189</v>
      </c>
      <c r="L413" s="11">
        <v>28800</v>
      </c>
      <c r="M413" t="s">
        <v>567</v>
      </c>
    </row>
    <row r="414" spans="2:13" ht="12.75">
      <c r="B414" s="8" t="s">
        <v>425</v>
      </c>
      <c r="C414" s="8" t="s">
        <v>132</v>
      </c>
      <c r="D414" s="9">
        <v>8500</v>
      </c>
      <c r="F414" s="10" t="s">
        <v>528</v>
      </c>
      <c r="G414" s="10" t="s">
        <v>206</v>
      </c>
      <c r="H414" s="11">
        <v>260000</v>
      </c>
      <c r="J414" s="10" t="s">
        <v>330</v>
      </c>
      <c r="K414" s="10" t="s">
        <v>189</v>
      </c>
      <c r="L414" s="11">
        <v>22700</v>
      </c>
      <c r="M414" t="s">
        <v>567</v>
      </c>
    </row>
    <row r="415" spans="2:13" ht="12.75">
      <c r="B415" s="10" t="s">
        <v>270</v>
      </c>
      <c r="C415" s="10" t="s">
        <v>157</v>
      </c>
      <c r="D415" s="11">
        <v>8100</v>
      </c>
      <c r="F415" s="8" t="s">
        <v>529</v>
      </c>
      <c r="G415" s="8" t="s">
        <v>146</v>
      </c>
      <c r="H415" s="9">
        <v>12700</v>
      </c>
      <c r="J415" s="8" t="s">
        <v>551</v>
      </c>
      <c r="K415" s="8" t="s">
        <v>189</v>
      </c>
      <c r="L415" s="9">
        <v>22500</v>
      </c>
      <c r="M415" t="s">
        <v>567</v>
      </c>
    </row>
    <row r="416" spans="2:13" ht="12.75">
      <c r="B416" s="10" t="s">
        <v>470</v>
      </c>
      <c r="C416" s="10" t="s">
        <v>130</v>
      </c>
      <c r="D416" s="11">
        <v>8000</v>
      </c>
      <c r="F416" s="10" t="s">
        <v>530</v>
      </c>
      <c r="G416" s="10" t="s">
        <v>214</v>
      </c>
      <c r="H416" s="11">
        <v>16400</v>
      </c>
      <c r="J416" s="10" t="s">
        <v>271</v>
      </c>
      <c r="K416" s="10" t="s">
        <v>189</v>
      </c>
      <c r="L416" s="11">
        <v>21800</v>
      </c>
      <c r="M416" t="s">
        <v>567</v>
      </c>
    </row>
    <row r="417" spans="2:13" ht="12.75">
      <c r="B417" s="10" t="s">
        <v>520</v>
      </c>
      <c r="C417" s="10" t="s">
        <v>146</v>
      </c>
      <c r="D417" s="11">
        <v>7900</v>
      </c>
      <c r="F417" s="8" t="s">
        <v>531</v>
      </c>
      <c r="G417" s="8" t="s">
        <v>157</v>
      </c>
      <c r="H417" s="9">
        <v>7600</v>
      </c>
      <c r="J417" s="10" t="s">
        <v>188</v>
      </c>
      <c r="K417" s="10" t="s">
        <v>189</v>
      </c>
      <c r="L417" s="11">
        <v>19300</v>
      </c>
      <c r="M417" t="s">
        <v>567</v>
      </c>
    </row>
    <row r="418" spans="2:13" ht="12.75">
      <c r="B418" s="8" t="s">
        <v>547</v>
      </c>
      <c r="C418" s="8" t="s">
        <v>135</v>
      </c>
      <c r="D418" s="9">
        <v>7700</v>
      </c>
      <c r="F418" s="10" t="s">
        <v>532</v>
      </c>
      <c r="G418" s="10" t="s">
        <v>192</v>
      </c>
      <c r="H418" s="11">
        <v>11400</v>
      </c>
      <c r="J418" s="10" t="s">
        <v>504</v>
      </c>
      <c r="K418" s="10" t="s">
        <v>189</v>
      </c>
      <c r="L418" s="11">
        <v>16900</v>
      </c>
      <c r="M418" t="s">
        <v>567</v>
      </c>
    </row>
    <row r="419" spans="2:13" ht="12.75">
      <c r="B419" s="10" t="s">
        <v>314</v>
      </c>
      <c r="C419" s="10" t="s">
        <v>192</v>
      </c>
      <c r="D419" s="11">
        <v>7600</v>
      </c>
      <c r="F419" s="8" t="s">
        <v>533</v>
      </c>
      <c r="G419" s="8" t="s">
        <v>189</v>
      </c>
      <c r="H419" s="9">
        <v>12900</v>
      </c>
      <c r="J419" s="10" t="s">
        <v>228</v>
      </c>
      <c r="K419" s="10" t="s">
        <v>189</v>
      </c>
      <c r="L419" s="11">
        <v>16600</v>
      </c>
      <c r="M419" t="s">
        <v>567</v>
      </c>
    </row>
    <row r="420" spans="2:13" ht="12.75">
      <c r="B420" s="8" t="s">
        <v>531</v>
      </c>
      <c r="C420" s="8" t="s">
        <v>157</v>
      </c>
      <c r="D420" s="9">
        <v>7600</v>
      </c>
      <c r="F420" s="10" t="s">
        <v>534</v>
      </c>
      <c r="G420" s="10" t="s">
        <v>155</v>
      </c>
      <c r="H420" s="11">
        <v>32300</v>
      </c>
      <c r="J420" s="10" t="s">
        <v>301</v>
      </c>
      <c r="K420" s="10" t="s">
        <v>189</v>
      </c>
      <c r="L420" s="11">
        <v>16400</v>
      </c>
      <c r="M420" t="s">
        <v>567</v>
      </c>
    </row>
    <row r="421" spans="2:13" ht="12.75">
      <c r="B421" s="10" t="s">
        <v>326</v>
      </c>
      <c r="C421" s="10" t="s">
        <v>157</v>
      </c>
      <c r="D421" s="11">
        <v>7400</v>
      </c>
      <c r="F421" s="8" t="s">
        <v>535</v>
      </c>
      <c r="G421" s="8" t="s">
        <v>163</v>
      </c>
      <c r="H421" s="9">
        <v>26100</v>
      </c>
      <c r="J421" s="10" t="s">
        <v>543</v>
      </c>
      <c r="K421" s="10" t="s">
        <v>189</v>
      </c>
      <c r="L421" s="11">
        <v>12000</v>
      </c>
      <c r="M421" t="s">
        <v>567</v>
      </c>
    </row>
    <row r="422" spans="2:13" ht="12.75">
      <c r="B422" s="10" t="s">
        <v>110</v>
      </c>
      <c r="C422" s="10" t="s">
        <v>111</v>
      </c>
      <c r="D422" s="11">
        <v>7300</v>
      </c>
      <c r="F422" s="8" t="s">
        <v>536</v>
      </c>
      <c r="G422" s="8" t="s">
        <v>107</v>
      </c>
      <c r="H422" s="9">
        <v>17600</v>
      </c>
      <c r="J422" s="10" t="s">
        <v>260</v>
      </c>
      <c r="K422" s="10" t="s">
        <v>189</v>
      </c>
      <c r="L422" s="11">
        <v>16200</v>
      </c>
      <c r="M422" t="s">
        <v>568</v>
      </c>
    </row>
    <row r="423" spans="2:13" ht="12.75">
      <c r="B423" s="10" t="s">
        <v>413</v>
      </c>
      <c r="C423" s="10" t="s">
        <v>138</v>
      </c>
      <c r="D423" s="11">
        <v>7300</v>
      </c>
      <c r="F423" s="10" t="s">
        <v>537</v>
      </c>
      <c r="G423" s="10" t="s">
        <v>146</v>
      </c>
      <c r="H423" s="11">
        <v>74000</v>
      </c>
      <c r="J423" s="8" t="s">
        <v>533</v>
      </c>
      <c r="K423" s="8" t="s">
        <v>189</v>
      </c>
      <c r="L423" s="9">
        <v>12900</v>
      </c>
      <c r="M423" t="s">
        <v>568</v>
      </c>
    </row>
    <row r="424" spans="2:13" ht="12.75">
      <c r="B424" s="8" t="s">
        <v>420</v>
      </c>
      <c r="C424" s="8" t="s">
        <v>146</v>
      </c>
      <c r="D424" s="9">
        <v>7100</v>
      </c>
      <c r="F424" s="8" t="s">
        <v>538</v>
      </c>
      <c r="G424" s="8" t="s">
        <v>214</v>
      </c>
      <c r="H424" s="9">
        <v>9600</v>
      </c>
      <c r="J424" s="10" t="s">
        <v>379</v>
      </c>
      <c r="K424" s="10" t="s">
        <v>189</v>
      </c>
      <c r="L424" s="11">
        <v>9500</v>
      </c>
      <c r="M424" t="s">
        <v>568</v>
      </c>
    </row>
    <row r="425" spans="2:13" ht="12.75">
      <c r="B425" s="8" t="s">
        <v>498</v>
      </c>
      <c r="C425" s="8" t="s">
        <v>146</v>
      </c>
      <c r="D425" s="9">
        <v>7000</v>
      </c>
      <c r="F425" s="10" t="s">
        <v>539</v>
      </c>
      <c r="G425" s="10" t="s">
        <v>111</v>
      </c>
      <c r="H425" s="11">
        <v>18900</v>
      </c>
      <c r="J425" s="10" t="s">
        <v>541</v>
      </c>
      <c r="K425" s="10" t="s">
        <v>138</v>
      </c>
      <c r="L425" s="11">
        <v>312000</v>
      </c>
      <c r="M425" t="s">
        <v>567</v>
      </c>
    </row>
    <row r="426" spans="2:13" ht="12.75">
      <c r="B426" s="10" t="s">
        <v>217</v>
      </c>
      <c r="C426" s="10" t="s">
        <v>172</v>
      </c>
      <c r="D426" s="11">
        <v>6900</v>
      </c>
      <c r="F426" s="8" t="s">
        <v>540</v>
      </c>
      <c r="G426" s="8" t="s">
        <v>189</v>
      </c>
      <c r="H426" s="9">
        <v>311000</v>
      </c>
      <c r="J426" s="10" t="s">
        <v>385</v>
      </c>
      <c r="K426" s="10" t="s">
        <v>138</v>
      </c>
      <c r="L426" s="11">
        <v>82000</v>
      </c>
      <c r="M426" t="s">
        <v>567</v>
      </c>
    </row>
    <row r="427" spans="2:13" ht="12.75">
      <c r="B427" s="10" t="s">
        <v>378</v>
      </c>
      <c r="C427" s="10" t="s">
        <v>157</v>
      </c>
      <c r="D427" s="11">
        <v>6900</v>
      </c>
      <c r="F427" s="10" t="s">
        <v>541</v>
      </c>
      <c r="G427" s="10" t="s">
        <v>138</v>
      </c>
      <c r="H427" s="11">
        <v>312000</v>
      </c>
      <c r="J427" s="10" t="s">
        <v>437</v>
      </c>
      <c r="K427" s="10" t="s">
        <v>138</v>
      </c>
      <c r="L427" s="11">
        <v>73000</v>
      </c>
      <c r="M427" t="s">
        <v>567</v>
      </c>
    </row>
    <row r="428" spans="2:13" ht="12.75">
      <c r="B428" s="10" t="s">
        <v>126</v>
      </c>
      <c r="C428" s="10" t="s">
        <v>107</v>
      </c>
      <c r="D428" s="11">
        <v>6600</v>
      </c>
      <c r="F428" s="8" t="s">
        <v>542</v>
      </c>
      <c r="G428" s="8" t="s">
        <v>192</v>
      </c>
      <c r="H428" s="9">
        <v>260000</v>
      </c>
      <c r="J428" s="10" t="s">
        <v>137</v>
      </c>
      <c r="K428" s="10" t="s">
        <v>138</v>
      </c>
      <c r="L428" s="11">
        <v>21600</v>
      </c>
      <c r="M428" t="s">
        <v>567</v>
      </c>
    </row>
    <row r="429" spans="2:13" ht="12.75">
      <c r="B429" s="10" t="s">
        <v>251</v>
      </c>
      <c r="C429" s="10" t="s">
        <v>130</v>
      </c>
      <c r="D429" s="11">
        <v>6600</v>
      </c>
      <c r="F429" s="10" t="s">
        <v>543</v>
      </c>
      <c r="G429" s="10" t="s">
        <v>189</v>
      </c>
      <c r="H429" s="11">
        <v>12000</v>
      </c>
      <c r="J429" s="10" t="s">
        <v>407</v>
      </c>
      <c r="K429" s="10" t="s">
        <v>138</v>
      </c>
      <c r="L429" s="11">
        <v>17000</v>
      </c>
      <c r="M429" t="s">
        <v>567</v>
      </c>
    </row>
    <row r="430" spans="2:13" ht="12.75">
      <c r="B430" s="10" t="s">
        <v>475</v>
      </c>
      <c r="C430" s="10" t="s">
        <v>146</v>
      </c>
      <c r="D430" s="11">
        <v>6500</v>
      </c>
      <c r="F430" s="8" t="s">
        <v>544</v>
      </c>
      <c r="G430" s="8" t="s">
        <v>155</v>
      </c>
      <c r="H430" s="9">
        <v>9600</v>
      </c>
      <c r="J430" s="8" t="s">
        <v>393</v>
      </c>
      <c r="K430" s="8" t="s">
        <v>138</v>
      </c>
      <c r="L430" s="9">
        <v>15500</v>
      </c>
      <c r="M430" t="s">
        <v>567</v>
      </c>
    </row>
    <row r="431" spans="2:13" ht="12.75">
      <c r="B431" s="10" t="s">
        <v>374</v>
      </c>
      <c r="C431" s="10" t="s">
        <v>111</v>
      </c>
      <c r="D431" s="11">
        <v>6400</v>
      </c>
      <c r="F431" s="10" t="s">
        <v>545</v>
      </c>
      <c r="G431" s="10" t="s">
        <v>157</v>
      </c>
      <c r="H431" s="11">
        <v>30200</v>
      </c>
      <c r="J431" s="10" t="s">
        <v>331</v>
      </c>
      <c r="K431" s="10" t="s">
        <v>138</v>
      </c>
      <c r="L431" s="11">
        <v>14800</v>
      </c>
      <c r="M431" t="s">
        <v>567</v>
      </c>
    </row>
    <row r="432" spans="2:13" ht="12.75">
      <c r="B432" s="10" t="s">
        <v>193</v>
      </c>
      <c r="C432" s="10" t="s">
        <v>146</v>
      </c>
      <c r="D432" s="11">
        <v>6100</v>
      </c>
      <c r="F432" s="8" t="s">
        <v>546</v>
      </c>
      <c r="G432" s="8" t="s">
        <v>132</v>
      </c>
      <c r="H432" s="9">
        <v>34100</v>
      </c>
      <c r="J432" s="10" t="s">
        <v>229</v>
      </c>
      <c r="K432" s="10" t="s">
        <v>138</v>
      </c>
      <c r="L432" s="11">
        <v>14200</v>
      </c>
      <c r="M432" t="s">
        <v>567</v>
      </c>
    </row>
    <row r="433" spans="2:13" ht="12.75">
      <c r="B433" s="8" t="s">
        <v>492</v>
      </c>
      <c r="C433" s="8" t="s">
        <v>146</v>
      </c>
      <c r="D433" s="9">
        <v>6100</v>
      </c>
      <c r="F433" s="8" t="s">
        <v>547</v>
      </c>
      <c r="G433" s="8" t="s">
        <v>135</v>
      </c>
      <c r="H433" s="9">
        <v>7700</v>
      </c>
      <c r="J433" s="10" t="s">
        <v>295</v>
      </c>
      <c r="K433" s="10" t="s">
        <v>138</v>
      </c>
      <c r="L433" s="11">
        <v>13700</v>
      </c>
      <c r="M433" t="s">
        <v>567</v>
      </c>
    </row>
    <row r="434" spans="2:13" ht="12.75">
      <c r="B434" s="10" t="s">
        <v>191</v>
      </c>
      <c r="C434" s="10" t="s">
        <v>192</v>
      </c>
      <c r="D434" s="11">
        <v>5800</v>
      </c>
      <c r="F434" s="10" t="s">
        <v>548</v>
      </c>
      <c r="G434" s="10" t="s">
        <v>107</v>
      </c>
      <c r="H434" s="11">
        <v>73100</v>
      </c>
      <c r="J434" s="10" t="s">
        <v>553</v>
      </c>
      <c r="K434" s="10" t="s">
        <v>138</v>
      </c>
      <c r="L434" s="11">
        <v>13500</v>
      </c>
      <c r="M434" t="s">
        <v>567</v>
      </c>
    </row>
    <row r="435" spans="2:13" ht="12.75">
      <c r="B435" s="10" t="s">
        <v>244</v>
      </c>
      <c r="C435" s="10" t="s">
        <v>146</v>
      </c>
      <c r="D435" s="11">
        <v>5700</v>
      </c>
      <c r="F435" s="8" t="s">
        <v>549</v>
      </c>
      <c r="G435" s="8" t="s">
        <v>206</v>
      </c>
      <c r="H435" s="9">
        <v>51900</v>
      </c>
      <c r="J435" s="10" t="s">
        <v>370</v>
      </c>
      <c r="K435" s="10" t="s">
        <v>138</v>
      </c>
      <c r="L435" s="11">
        <v>13100</v>
      </c>
      <c r="M435" t="s">
        <v>567</v>
      </c>
    </row>
    <row r="436" spans="2:13" ht="12.75">
      <c r="B436" s="10" t="s">
        <v>112</v>
      </c>
      <c r="C436" s="10" t="s">
        <v>111</v>
      </c>
      <c r="D436" s="11">
        <v>5500</v>
      </c>
      <c r="F436" s="10" t="s">
        <v>550</v>
      </c>
      <c r="G436" s="10" t="s">
        <v>130</v>
      </c>
      <c r="H436" s="11">
        <v>95200</v>
      </c>
      <c r="J436" s="10" t="s">
        <v>173</v>
      </c>
      <c r="K436" s="10" t="s">
        <v>138</v>
      </c>
      <c r="L436" s="11">
        <v>12200</v>
      </c>
      <c r="M436" t="s">
        <v>567</v>
      </c>
    </row>
    <row r="437" spans="2:13" ht="12.75">
      <c r="B437" s="10" t="s">
        <v>196</v>
      </c>
      <c r="C437" s="10" t="s">
        <v>192</v>
      </c>
      <c r="D437" s="11">
        <v>5500</v>
      </c>
      <c r="F437" s="8" t="s">
        <v>551</v>
      </c>
      <c r="G437" s="8" t="s">
        <v>189</v>
      </c>
      <c r="H437" s="9">
        <v>22500</v>
      </c>
      <c r="J437" s="10" t="s">
        <v>167</v>
      </c>
      <c r="K437" s="10" t="s">
        <v>138</v>
      </c>
      <c r="L437" s="11">
        <v>11900</v>
      </c>
      <c r="M437" t="s">
        <v>568</v>
      </c>
    </row>
    <row r="438" spans="2:13" ht="12.75">
      <c r="B438" s="8" t="s">
        <v>478</v>
      </c>
      <c r="C438" s="8" t="s">
        <v>107</v>
      </c>
      <c r="D438" s="9">
        <v>5400</v>
      </c>
      <c r="F438" s="8" t="s">
        <v>552</v>
      </c>
      <c r="G438" s="8" t="s">
        <v>114</v>
      </c>
      <c r="H438" s="9">
        <v>13100</v>
      </c>
      <c r="J438" s="8" t="s">
        <v>469</v>
      </c>
      <c r="K438" s="8" t="s">
        <v>138</v>
      </c>
      <c r="L438" s="9">
        <v>9400</v>
      </c>
      <c r="M438" t="s">
        <v>568</v>
      </c>
    </row>
    <row r="439" spans="2:13" ht="12.75">
      <c r="B439" s="8" t="s">
        <v>457</v>
      </c>
      <c r="C439" s="8" t="s">
        <v>146</v>
      </c>
      <c r="D439" s="9">
        <v>5100</v>
      </c>
      <c r="F439" s="10" t="s">
        <v>553</v>
      </c>
      <c r="G439" s="10" t="s">
        <v>138</v>
      </c>
      <c r="H439" s="11">
        <v>13500</v>
      </c>
      <c r="J439" s="10" t="s">
        <v>413</v>
      </c>
      <c r="K439" s="10" t="s">
        <v>138</v>
      </c>
      <c r="L439" s="11">
        <v>7300</v>
      </c>
      <c r="M439" t="s">
        <v>568</v>
      </c>
    </row>
    <row r="440" spans="2:13" ht="12.75">
      <c r="B440" s="10" t="s">
        <v>526</v>
      </c>
      <c r="C440" s="10" t="s">
        <v>146</v>
      </c>
      <c r="D440" s="11">
        <v>5000</v>
      </c>
      <c r="F440" s="8" t="s">
        <v>554</v>
      </c>
      <c r="G440" s="8" t="s">
        <v>153</v>
      </c>
      <c r="H440" s="9">
        <v>51500</v>
      </c>
      <c r="J440" s="8" t="s">
        <v>542</v>
      </c>
      <c r="K440" s="8" t="s">
        <v>192</v>
      </c>
      <c r="L440" s="9">
        <v>260000</v>
      </c>
      <c r="M440" t="s">
        <v>567</v>
      </c>
    </row>
    <row r="441" spans="2:13" ht="12.75">
      <c r="B441" s="10" t="s">
        <v>473</v>
      </c>
      <c r="C441" s="10" t="s">
        <v>157</v>
      </c>
      <c r="D441" s="11">
        <v>4500</v>
      </c>
      <c r="F441" s="8" t="s">
        <v>555</v>
      </c>
      <c r="G441" s="8" t="s">
        <v>141</v>
      </c>
      <c r="H441" s="9">
        <v>41900</v>
      </c>
      <c r="J441" s="10" t="s">
        <v>495</v>
      </c>
      <c r="K441" s="10" t="s">
        <v>192</v>
      </c>
      <c r="L441" s="11">
        <v>15400</v>
      </c>
      <c r="M441" t="s">
        <v>567</v>
      </c>
    </row>
    <row r="442" spans="2:13" ht="12.75">
      <c r="B442" s="10" t="s">
        <v>166</v>
      </c>
      <c r="C442" s="10" t="s">
        <v>146</v>
      </c>
      <c r="D442" s="11">
        <v>4400</v>
      </c>
      <c r="F442" s="10" t="s">
        <v>556</v>
      </c>
      <c r="G442" s="10" t="s">
        <v>119</v>
      </c>
      <c r="H442" s="11">
        <v>24700</v>
      </c>
      <c r="J442" s="10" t="s">
        <v>532</v>
      </c>
      <c r="K442" s="10" t="s">
        <v>192</v>
      </c>
      <c r="L442" s="11">
        <v>11400</v>
      </c>
      <c r="M442" t="s">
        <v>567</v>
      </c>
    </row>
    <row r="443" spans="2:13" ht="12.75">
      <c r="B443" s="10" t="s">
        <v>321</v>
      </c>
      <c r="C443" s="10" t="s">
        <v>146</v>
      </c>
      <c r="D443" s="11">
        <v>3900</v>
      </c>
      <c r="F443" s="8" t="s">
        <v>557</v>
      </c>
      <c r="G443" s="8" t="s">
        <v>107</v>
      </c>
      <c r="H443" s="9">
        <v>18700</v>
      </c>
      <c r="J443" s="10" t="s">
        <v>485</v>
      </c>
      <c r="K443" s="10" t="s">
        <v>192</v>
      </c>
      <c r="L443" s="11">
        <v>11300</v>
      </c>
      <c r="M443" t="s">
        <v>567</v>
      </c>
    </row>
    <row r="444" spans="2:13" ht="12.75">
      <c r="B444" s="8" t="s">
        <v>428</v>
      </c>
      <c r="C444" s="8" t="s">
        <v>157</v>
      </c>
      <c r="D444" s="9">
        <v>3800</v>
      </c>
      <c r="F444" s="8" t="s">
        <v>558</v>
      </c>
      <c r="G444" s="8" t="s">
        <v>146</v>
      </c>
      <c r="H444" s="9">
        <v>14100</v>
      </c>
      <c r="J444" s="8" t="s">
        <v>398</v>
      </c>
      <c r="K444" s="8" t="s">
        <v>192</v>
      </c>
      <c r="L444" s="9">
        <v>10344</v>
      </c>
      <c r="M444" t="s">
        <v>567</v>
      </c>
    </row>
    <row r="445" spans="2:13" ht="12.75">
      <c r="B445" s="8" t="s">
        <v>422</v>
      </c>
      <c r="C445" s="8" t="s">
        <v>121</v>
      </c>
      <c r="D445" s="9">
        <v>3633</v>
      </c>
      <c r="F445" s="10" t="s">
        <v>559</v>
      </c>
      <c r="G445" s="10" t="s">
        <v>143</v>
      </c>
      <c r="H445" s="11">
        <v>22600</v>
      </c>
      <c r="J445" s="10" t="s">
        <v>268</v>
      </c>
      <c r="K445" s="10" t="s">
        <v>192</v>
      </c>
      <c r="L445" s="11">
        <v>10000</v>
      </c>
      <c r="M445" t="s">
        <v>567</v>
      </c>
    </row>
    <row r="446" spans="2:13" ht="12.75">
      <c r="B446" s="10" t="s">
        <v>220</v>
      </c>
      <c r="C446" s="10" t="s">
        <v>146</v>
      </c>
      <c r="D446" s="11">
        <v>3500</v>
      </c>
      <c r="F446" s="8" t="s">
        <v>560</v>
      </c>
      <c r="G446" s="8" t="s">
        <v>114</v>
      </c>
      <c r="H446" s="9">
        <v>89300</v>
      </c>
      <c r="J446" s="10" t="s">
        <v>314</v>
      </c>
      <c r="K446" s="10" t="s">
        <v>192</v>
      </c>
      <c r="L446" s="11">
        <v>7600</v>
      </c>
      <c r="M446" t="s">
        <v>567</v>
      </c>
    </row>
    <row r="447" spans="2:13" ht="12.75">
      <c r="B447" s="10" t="s">
        <v>145</v>
      </c>
      <c r="C447" s="10" t="s">
        <v>146</v>
      </c>
      <c r="D447" s="11">
        <v>2500</v>
      </c>
      <c r="F447" s="10" t="s">
        <v>561</v>
      </c>
      <c r="G447" s="10" t="s">
        <v>135</v>
      </c>
      <c r="H447" s="11">
        <v>12800</v>
      </c>
      <c r="J447" s="8" t="s">
        <v>402</v>
      </c>
      <c r="K447" s="8" t="s">
        <v>192</v>
      </c>
      <c r="L447" s="9">
        <v>8600</v>
      </c>
      <c r="M447" t="s">
        <v>568</v>
      </c>
    </row>
    <row r="448" spans="2:13" ht="12.75">
      <c r="B448" s="10" t="s">
        <v>219</v>
      </c>
      <c r="C448" s="10" t="s">
        <v>192</v>
      </c>
      <c r="D448" s="11">
        <v>2500</v>
      </c>
      <c r="F448" s="8" t="s">
        <v>562</v>
      </c>
      <c r="G448" s="8" t="s">
        <v>172</v>
      </c>
      <c r="H448" s="9">
        <v>8800</v>
      </c>
      <c r="J448" s="10" t="s">
        <v>191</v>
      </c>
      <c r="K448" s="10" t="s">
        <v>192</v>
      </c>
      <c r="L448" s="11">
        <v>5800</v>
      </c>
      <c r="M448" t="s">
        <v>568</v>
      </c>
    </row>
    <row r="449" spans="2:13" ht="12.75">
      <c r="B449" s="10" t="s">
        <v>160</v>
      </c>
      <c r="C449" s="10" t="s">
        <v>161</v>
      </c>
      <c r="D449" s="11">
        <v>1800</v>
      </c>
      <c r="F449" s="10" t="s">
        <v>563</v>
      </c>
      <c r="G449" s="10" t="s">
        <v>107</v>
      </c>
      <c r="H449" s="11">
        <v>38100</v>
      </c>
      <c r="J449" s="10" t="s">
        <v>196</v>
      </c>
      <c r="K449" s="10" t="s">
        <v>192</v>
      </c>
      <c r="L449" s="11">
        <v>5500</v>
      </c>
      <c r="M449" t="s">
        <v>568</v>
      </c>
    </row>
    <row r="450" spans="2:13" ht="12.75">
      <c r="B450" s="1"/>
      <c r="C450" s="1"/>
      <c r="D450" s="12"/>
      <c r="F450" s="1"/>
      <c r="G450" s="1"/>
      <c r="H450" s="12"/>
      <c r="J450" s="10" t="s">
        <v>219</v>
      </c>
      <c r="K450" s="10" t="s">
        <v>192</v>
      </c>
      <c r="L450" s="11">
        <v>2500</v>
      </c>
      <c r="M450" t="s">
        <v>568</v>
      </c>
    </row>
    <row r="451" spans="6:13" ht="12.75">
      <c r="F451" s="1"/>
      <c r="G451" s="1"/>
      <c r="H451" s="12"/>
      <c r="J451" s="1" t="s">
        <v>566</v>
      </c>
      <c r="K451" s="1"/>
      <c r="L451" s="1"/>
      <c r="M451" t="s">
        <v>569</v>
      </c>
    </row>
    <row r="452" spans="6:12" ht="12.75">
      <c r="F452" s="1"/>
      <c r="G452" s="1"/>
      <c r="H452" s="12"/>
      <c r="J452" s="1"/>
      <c r="K452" s="1"/>
      <c r="L452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4"/>
  <sheetViews>
    <sheetView workbookViewId="0" topLeftCell="A42">
      <selection activeCell="E58" sqref="E58"/>
    </sheetView>
  </sheetViews>
  <sheetFormatPr defaultColWidth="9.00390625" defaultRowHeight="12.75"/>
  <cols>
    <col min="1" max="1" width="13.00390625" style="0" customWidth="1"/>
    <col min="2" max="2" width="17.125" style="0" customWidth="1"/>
    <col min="3" max="3" width="18.375" style="0" customWidth="1"/>
    <col min="4" max="4" width="16.875" style="0" customWidth="1"/>
    <col min="5" max="6" width="28.00390625" style="0" customWidth="1"/>
    <col min="7" max="7" width="36.25390625" style="0" customWidth="1"/>
    <col min="8" max="8" width="14.25390625" style="0" customWidth="1"/>
    <col min="9" max="9" width="16.625" style="0" customWidth="1"/>
  </cols>
  <sheetData>
    <row r="1" spans="1:7" ht="12.75">
      <c r="A1" s="166" t="s">
        <v>617</v>
      </c>
      <c r="B1" s="132"/>
      <c r="C1" s="132"/>
      <c r="D1" s="132"/>
      <c r="E1" s="132"/>
      <c r="F1" s="132"/>
      <c r="G1" s="167"/>
    </row>
    <row r="2" spans="1:7" ht="12.75" customHeight="1">
      <c r="A2" s="138" t="s">
        <v>878</v>
      </c>
      <c r="B2" s="138"/>
      <c r="C2" s="138"/>
      <c r="D2" s="138"/>
      <c r="E2" s="138"/>
      <c r="F2" s="138"/>
      <c r="G2" s="138"/>
    </row>
    <row r="3" spans="1:8" ht="38.25" customHeight="1">
      <c r="A3" s="138"/>
      <c r="B3" s="138"/>
      <c r="C3" s="138"/>
      <c r="D3" s="138"/>
      <c r="E3" s="138"/>
      <c r="F3" s="138"/>
      <c r="G3" s="138"/>
      <c r="H3" t="s">
        <v>618</v>
      </c>
    </row>
    <row r="4" spans="1:8" ht="39.75" customHeight="1">
      <c r="A4" s="24" t="s">
        <v>619</v>
      </c>
      <c r="B4" s="24" t="s">
        <v>620</v>
      </c>
      <c r="C4" s="24" t="s">
        <v>621</v>
      </c>
      <c r="D4" s="24" t="s">
        <v>622</v>
      </c>
      <c r="E4" s="1" t="s">
        <v>623</v>
      </c>
      <c r="F4" s="1" t="s">
        <v>907</v>
      </c>
      <c r="G4" s="24" t="s">
        <v>624</v>
      </c>
      <c r="H4" s="25" t="s">
        <v>625</v>
      </c>
    </row>
    <row r="5" spans="1:8" ht="12" customHeight="1">
      <c r="A5" s="26">
        <v>22197</v>
      </c>
      <c r="B5" s="27" t="s">
        <v>626</v>
      </c>
      <c r="C5" s="24" t="s">
        <v>627</v>
      </c>
      <c r="D5" s="24" t="s">
        <v>628</v>
      </c>
      <c r="E5" s="1" t="s">
        <v>629</v>
      </c>
      <c r="F5" s="1"/>
      <c r="G5" s="1" t="s">
        <v>630</v>
      </c>
      <c r="H5" s="5">
        <v>1.590972222222222</v>
      </c>
    </row>
    <row r="6" spans="1:8" ht="12" customHeight="1">
      <c r="A6" s="26">
        <v>22569</v>
      </c>
      <c r="B6" s="27" t="s">
        <v>631</v>
      </c>
      <c r="C6" s="24" t="s">
        <v>632</v>
      </c>
      <c r="D6" s="24" t="s">
        <v>633</v>
      </c>
      <c r="E6" s="1" t="s">
        <v>651</v>
      </c>
      <c r="F6" s="1"/>
      <c r="G6" s="1" t="s">
        <v>652</v>
      </c>
      <c r="H6" s="5">
        <v>1.5895833333333333</v>
      </c>
    </row>
    <row r="7" spans="1:8" ht="12" customHeight="1">
      <c r="A7" s="26">
        <v>22925</v>
      </c>
      <c r="B7" s="27" t="s">
        <v>653</v>
      </c>
      <c r="C7" s="24" t="s">
        <v>654</v>
      </c>
      <c r="D7" s="24" t="s">
        <v>655</v>
      </c>
      <c r="E7" s="1" t="s">
        <v>656</v>
      </c>
      <c r="F7" s="1"/>
      <c r="G7" s="1" t="s">
        <v>657</v>
      </c>
      <c r="H7" s="5">
        <v>1.5744328703703703</v>
      </c>
    </row>
    <row r="8" spans="1:8" ht="12" customHeight="1">
      <c r="A8" s="26">
        <v>23345</v>
      </c>
      <c r="B8" s="27" t="s">
        <v>658</v>
      </c>
      <c r="C8" s="24" t="s">
        <v>659</v>
      </c>
      <c r="D8" s="24" t="s">
        <v>660</v>
      </c>
      <c r="E8" s="1" t="s">
        <v>661</v>
      </c>
      <c r="F8" s="1"/>
      <c r="G8" s="1" t="s">
        <v>662</v>
      </c>
      <c r="H8" s="5">
        <v>1.5104166666666667</v>
      </c>
    </row>
    <row r="9" spans="1:8" ht="12" customHeight="1">
      <c r="A9" s="26">
        <v>23632</v>
      </c>
      <c r="B9" s="27" t="s">
        <v>663</v>
      </c>
      <c r="C9" s="24" t="s">
        <v>664</v>
      </c>
      <c r="D9" s="24" t="s">
        <v>665</v>
      </c>
      <c r="E9" s="1" t="s">
        <v>666</v>
      </c>
      <c r="F9" s="1"/>
      <c r="G9" s="1" t="s">
        <v>667</v>
      </c>
      <c r="H9" s="5">
        <v>1.5562962962962963</v>
      </c>
    </row>
    <row r="10" spans="1:8" ht="12" customHeight="1">
      <c r="A10" s="26">
        <v>24227</v>
      </c>
      <c r="B10" s="27" t="s">
        <v>668</v>
      </c>
      <c r="C10" s="24" t="s">
        <v>669</v>
      </c>
      <c r="D10" s="24" t="s">
        <v>670</v>
      </c>
      <c r="E10" s="1" t="s">
        <v>671</v>
      </c>
      <c r="F10" s="1"/>
      <c r="G10" s="1" t="s">
        <v>672</v>
      </c>
      <c r="H10" s="5">
        <v>1.548611111111111</v>
      </c>
    </row>
    <row r="11" spans="1:8" ht="12" customHeight="1">
      <c r="A11" s="26">
        <v>24717</v>
      </c>
      <c r="B11" s="27" t="s">
        <v>673</v>
      </c>
      <c r="C11" s="24" t="s">
        <v>669</v>
      </c>
      <c r="D11" s="24" t="s">
        <v>670</v>
      </c>
      <c r="E11" s="1" t="s">
        <v>674</v>
      </c>
      <c r="F11" s="1"/>
      <c r="G11" s="1" t="s">
        <v>675</v>
      </c>
      <c r="H11" s="5">
        <v>1.531261574074074</v>
      </c>
    </row>
    <row r="12" spans="1:8" ht="12" customHeight="1">
      <c r="A12" s="26">
        <v>25088</v>
      </c>
      <c r="B12" s="27" t="s">
        <v>676</v>
      </c>
      <c r="C12" s="24" t="s">
        <v>677</v>
      </c>
      <c r="D12" s="24" t="s">
        <v>588</v>
      </c>
      <c r="E12" s="1" t="s">
        <v>678</v>
      </c>
      <c r="F12" s="1"/>
      <c r="G12" s="1" t="s">
        <v>679</v>
      </c>
      <c r="H12" s="5">
        <v>1.5125</v>
      </c>
    </row>
    <row r="13" spans="1:8" ht="12" customHeight="1">
      <c r="A13" s="26">
        <v>25452</v>
      </c>
      <c r="B13" s="27" t="s">
        <v>680</v>
      </c>
      <c r="C13" s="24" t="s">
        <v>681</v>
      </c>
      <c r="D13" s="24" t="s">
        <v>682</v>
      </c>
      <c r="E13" s="1" t="s">
        <v>683</v>
      </c>
      <c r="F13" s="1"/>
      <c r="G13" s="1" t="s">
        <v>679</v>
      </c>
      <c r="H13" s="5">
        <v>1.5118055555555554</v>
      </c>
    </row>
    <row r="14" spans="1:8" ht="12" customHeight="1">
      <c r="A14" s="26">
        <v>25817</v>
      </c>
      <c r="B14" s="27" t="s">
        <v>684</v>
      </c>
      <c r="C14" s="24" t="s">
        <v>685</v>
      </c>
      <c r="D14" s="24" t="s">
        <v>686</v>
      </c>
      <c r="E14" s="1" t="s">
        <v>687</v>
      </c>
      <c r="F14" s="1"/>
      <c r="G14" s="1" t="s">
        <v>688</v>
      </c>
      <c r="H14" s="5">
        <v>1.5111689814814815</v>
      </c>
    </row>
    <row r="15" spans="1:8" ht="12" customHeight="1">
      <c r="A15" s="26">
        <v>26195</v>
      </c>
      <c r="B15" s="27" t="s">
        <v>689</v>
      </c>
      <c r="C15" s="24" t="s">
        <v>690</v>
      </c>
      <c r="D15" s="24" t="s">
        <v>691</v>
      </c>
      <c r="E15" s="1" t="s">
        <v>692</v>
      </c>
      <c r="F15" s="1"/>
      <c r="G15" s="1" t="s">
        <v>693</v>
      </c>
      <c r="H15" s="5">
        <v>1.55</v>
      </c>
    </row>
    <row r="16" spans="1:8" ht="12" customHeight="1">
      <c r="A16" s="26">
        <v>26560</v>
      </c>
      <c r="B16" s="27" t="s">
        <v>694</v>
      </c>
      <c r="C16" s="24" t="s">
        <v>632</v>
      </c>
      <c r="D16" s="24" t="s">
        <v>695</v>
      </c>
      <c r="E16" s="1" t="s">
        <v>696</v>
      </c>
      <c r="F16" s="1"/>
      <c r="G16" s="1" t="s">
        <v>697</v>
      </c>
      <c r="H16" s="5">
        <v>1.541712962962963</v>
      </c>
    </row>
    <row r="17" spans="1:8" ht="12" customHeight="1">
      <c r="A17" s="26">
        <v>26924</v>
      </c>
      <c r="B17" s="27" t="s">
        <v>698</v>
      </c>
      <c r="C17" s="24" t="s">
        <v>659</v>
      </c>
      <c r="D17" s="24" t="s">
        <v>699</v>
      </c>
      <c r="E17" s="1" t="s">
        <v>700</v>
      </c>
      <c r="F17" s="1"/>
      <c r="G17" s="1" t="s">
        <v>693</v>
      </c>
      <c r="H17" s="5">
        <v>1.5756712962962964</v>
      </c>
    </row>
    <row r="18" spans="1:8" ht="12" customHeight="1">
      <c r="A18" s="26">
        <v>27239</v>
      </c>
      <c r="B18" s="27" t="s">
        <v>701</v>
      </c>
      <c r="C18" s="24" t="s">
        <v>599</v>
      </c>
      <c r="D18" s="24" t="s">
        <v>702</v>
      </c>
      <c r="E18" s="1" t="s">
        <v>703</v>
      </c>
      <c r="F18" s="1"/>
      <c r="G18" s="1" t="s">
        <v>704</v>
      </c>
      <c r="H18" s="5">
        <v>1.5584143518518518</v>
      </c>
    </row>
    <row r="19" spans="1:8" ht="12" customHeight="1">
      <c r="A19" s="26">
        <v>27671</v>
      </c>
      <c r="B19" s="27" t="s">
        <v>705</v>
      </c>
      <c r="C19" s="24" t="s">
        <v>706</v>
      </c>
      <c r="D19" s="24" t="s">
        <v>707</v>
      </c>
      <c r="E19" s="1" t="s">
        <v>708</v>
      </c>
      <c r="F19" s="1"/>
      <c r="G19" s="1" t="s">
        <v>709</v>
      </c>
      <c r="H19" s="5">
        <v>1.5590277777777777</v>
      </c>
    </row>
    <row r="20" spans="1:8" ht="12" customHeight="1">
      <c r="A20" s="26">
        <v>28021</v>
      </c>
      <c r="B20" s="27" t="s">
        <v>631</v>
      </c>
      <c r="C20" s="24" t="s">
        <v>681</v>
      </c>
      <c r="D20" s="24" t="s">
        <v>710</v>
      </c>
      <c r="E20" s="1" t="s">
        <v>711</v>
      </c>
      <c r="F20" s="1"/>
      <c r="G20" s="1" t="s">
        <v>712</v>
      </c>
      <c r="H20" s="5">
        <v>1.5576388888888888</v>
      </c>
    </row>
    <row r="21" spans="1:8" ht="12" customHeight="1">
      <c r="A21" s="26">
        <v>28392</v>
      </c>
      <c r="B21" s="27" t="s">
        <v>689</v>
      </c>
      <c r="C21" s="24" t="s">
        <v>627</v>
      </c>
      <c r="D21" s="24" t="s">
        <v>713</v>
      </c>
      <c r="E21" s="1" t="s">
        <v>714</v>
      </c>
      <c r="F21" s="1"/>
      <c r="G21" s="1" t="s">
        <v>667</v>
      </c>
      <c r="H21" s="5">
        <v>1.6104166666666666</v>
      </c>
    </row>
    <row r="22" spans="1:8" ht="12" customHeight="1">
      <c r="A22" s="26">
        <v>28756</v>
      </c>
      <c r="B22" s="27" t="s">
        <v>715</v>
      </c>
      <c r="C22" s="24" t="s">
        <v>595</v>
      </c>
      <c r="D22" s="24" t="s">
        <v>716</v>
      </c>
      <c r="E22" s="1" t="s">
        <v>717</v>
      </c>
      <c r="F22" s="1"/>
      <c r="G22" s="1" t="s">
        <v>718</v>
      </c>
      <c r="H22" s="5">
        <v>1.5833912037037037</v>
      </c>
    </row>
    <row r="23" spans="1:8" ht="12" customHeight="1">
      <c r="A23" s="26">
        <v>29120</v>
      </c>
      <c r="B23" s="27" t="s">
        <v>719</v>
      </c>
      <c r="C23" s="24" t="s">
        <v>720</v>
      </c>
      <c r="D23" s="24" t="s">
        <v>721</v>
      </c>
      <c r="E23" s="1" t="s">
        <v>722</v>
      </c>
      <c r="F23" s="1"/>
      <c r="G23" s="1" t="s">
        <v>723</v>
      </c>
      <c r="H23" s="5">
        <v>1.5506944444444446</v>
      </c>
    </row>
    <row r="24" spans="1:8" ht="12" customHeight="1">
      <c r="A24" s="26">
        <v>29492</v>
      </c>
      <c r="B24" s="27" t="s">
        <v>724</v>
      </c>
      <c r="C24" s="24" t="s">
        <v>725</v>
      </c>
      <c r="D24" s="24" t="s">
        <v>726</v>
      </c>
      <c r="E24" s="1" t="s">
        <v>727</v>
      </c>
      <c r="F24" s="1"/>
      <c r="G24" s="1" t="s">
        <v>728</v>
      </c>
      <c r="H24" s="5">
        <v>1.500011574074074</v>
      </c>
    </row>
    <row r="25" spans="1:8" ht="12" customHeight="1">
      <c r="A25" s="26">
        <v>29883</v>
      </c>
      <c r="B25" s="27" t="s">
        <v>729</v>
      </c>
      <c r="C25" s="24" t="s">
        <v>725</v>
      </c>
      <c r="D25" s="24" t="s">
        <v>730</v>
      </c>
      <c r="E25" s="1" t="s">
        <v>731</v>
      </c>
      <c r="F25" s="1"/>
      <c r="G25" s="1" t="s">
        <v>732</v>
      </c>
      <c r="H25" s="5">
        <v>1.4245717592592593</v>
      </c>
    </row>
    <row r="26" spans="1:8" ht="12" customHeight="1">
      <c r="A26" s="26">
        <v>30247</v>
      </c>
      <c r="B26" s="27" t="s">
        <v>733</v>
      </c>
      <c r="C26" s="24" t="s">
        <v>734</v>
      </c>
      <c r="D26" s="24" t="s">
        <v>735</v>
      </c>
      <c r="E26" s="1" t="s">
        <v>736</v>
      </c>
      <c r="F26" s="1"/>
      <c r="G26" s="1" t="s">
        <v>732</v>
      </c>
      <c r="H26" s="5">
        <v>1.3911805555555556</v>
      </c>
    </row>
    <row r="27" spans="1:8" ht="12" customHeight="1">
      <c r="A27" s="26">
        <v>30625</v>
      </c>
      <c r="B27" s="27" t="s">
        <v>737</v>
      </c>
      <c r="C27" s="24" t="s">
        <v>632</v>
      </c>
      <c r="D27" s="24" t="s">
        <v>738</v>
      </c>
      <c r="E27" s="1" t="s">
        <v>739</v>
      </c>
      <c r="F27" s="1"/>
      <c r="G27" s="1" t="s">
        <v>732</v>
      </c>
      <c r="H27" s="5">
        <v>1.3877314814814816</v>
      </c>
    </row>
    <row r="28" spans="1:8" ht="12" customHeight="1">
      <c r="A28" s="26">
        <v>30982</v>
      </c>
      <c r="B28" s="27" t="s">
        <v>740</v>
      </c>
      <c r="C28" s="24" t="s">
        <v>706</v>
      </c>
      <c r="D28" s="24" t="s">
        <v>741</v>
      </c>
      <c r="E28" s="1" t="s">
        <v>742</v>
      </c>
      <c r="F28" s="1"/>
      <c r="G28" s="1" t="s">
        <v>732</v>
      </c>
      <c r="H28" s="5">
        <v>1.3932638888888889</v>
      </c>
    </row>
    <row r="29" spans="1:8" ht="12" customHeight="1">
      <c r="A29" s="26">
        <v>31339</v>
      </c>
      <c r="B29" s="27" t="s">
        <v>743</v>
      </c>
      <c r="C29" s="24" t="s">
        <v>602</v>
      </c>
      <c r="D29" s="24" t="s">
        <v>744</v>
      </c>
      <c r="E29" s="1" t="s">
        <v>745</v>
      </c>
      <c r="F29" s="1"/>
      <c r="G29" s="1" t="s">
        <v>746</v>
      </c>
      <c r="H29" s="5">
        <v>1.3884375</v>
      </c>
    </row>
    <row r="30" spans="1:8" ht="12" customHeight="1">
      <c r="A30" s="26">
        <v>31696</v>
      </c>
      <c r="B30" s="27" t="s">
        <v>705</v>
      </c>
      <c r="C30" s="24" t="s">
        <v>599</v>
      </c>
      <c r="D30" s="24" t="s">
        <v>747</v>
      </c>
      <c r="E30" s="1" t="s">
        <v>748</v>
      </c>
      <c r="F30" s="1"/>
      <c r="G30" s="1" t="s">
        <v>746</v>
      </c>
      <c r="H30" s="5">
        <v>1.3890277777777778</v>
      </c>
    </row>
    <row r="31" spans="1:8" ht="12" customHeight="1">
      <c r="A31" s="26">
        <v>32060</v>
      </c>
      <c r="B31" s="27" t="s">
        <v>749</v>
      </c>
      <c r="C31" s="24" t="s">
        <v>599</v>
      </c>
      <c r="D31" s="24" t="s">
        <v>750</v>
      </c>
      <c r="E31" s="1" t="s">
        <v>751</v>
      </c>
      <c r="F31" s="1"/>
      <c r="G31" s="1" t="s">
        <v>752</v>
      </c>
      <c r="H31" s="5">
        <v>1.4039351851851851</v>
      </c>
    </row>
    <row r="32" spans="1:8" ht="12" customHeight="1">
      <c r="A32" s="26">
        <v>32431</v>
      </c>
      <c r="B32" s="27" t="s">
        <v>753</v>
      </c>
      <c r="C32" s="24" t="s">
        <v>685</v>
      </c>
      <c r="D32" s="24" t="s">
        <v>686</v>
      </c>
      <c r="E32" s="1" t="s">
        <v>754</v>
      </c>
      <c r="F32" s="1"/>
      <c r="G32" s="1" t="s">
        <v>755</v>
      </c>
      <c r="H32" s="5">
        <v>1.466747685185185</v>
      </c>
    </row>
    <row r="33" spans="1:8" ht="12" customHeight="1">
      <c r="A33" s="26">
        <v>32795</v>
      </c>
      <c r="B33" s="27" t="s">
        <v>756</v>
      </c>
      <c r="C33" s="24" t="s">
        <v>601</v>
      </c>
      <c r="D33" s="24" t="s">
        <v>757</v>
      </c>
      <c r="E33" s="1" t="s">
        <v>758</v>
      </c>
      <c r="F33" s="1"/>
      <c r="G33" s="1" t="s">
        <v>759</v>
      </c>
      <c r="H33" s="5">
        <v>1.5494097222222223</v>
      </c>
    </row>
    <row r="34" spans="1:8" ht="12" customHeight="1">
      <c r="A34" s="26">
        <v>33166</v>
      </c>
      <c r="B34" s="27" t="s">
        <v>760</v>
      </c>
      <c r="C34" s="24" t="s">
        <v>592</v>
      </c>
      <c r="D34" s="24" t="s">
        <v>761</v>
      </c>
      <c r="E34" s="1" t="s">
        <v>762</v>
      </c>
      <c r="F34" s="1"/>
      <c r="G34" s="1" t="s">
        <v>763</v>
      </c>
      <c r="H34" s="5">
        <v>1.6527777777777777</v>
      </c>
    </row>
    <row r="35" spans="1:8" ht="12" customHeight="1">
      <c r="A35" s="26">
        <v>33530</v>
      </c>
      <c r="B35" s="27" t="s">
        <v>743</v>
      </c>
      <c r="C35" s="24" t="s">
        <v>685</v>
      </c>
      <c r="D35" s="24" t="s">
        <v>764</v>
      </c>
      <c r="E35" s="1" t="s">
        <v>765</v>
      </c>
      <c r="F35" s="1"/>
      <c r="G35" s="1" t="s">
        <v>766</v>
      </c>
      <c r="H35" s="5">
        <v>1.5495717592592593</v>
      </c>
    </row>
    <row r="36" spans="1:8" ht="12" customHeight="1">
      <c r="A36" s="26">
        <v>33895</v>
      </c>
      <c r="B36" s="27" t="s">
        <v>767</v>
      </c>
      <c r="C36" s="24" t="s">
        <v>720</v>
      </c>
      <c r="D36" s="24" t="s">
        <v>768</v>
      </c>
      <c r="E36" s="1" t="s">
        <v>769</v>
      </c>
      <c r="F36" s="1"/>
      <c r="G36" s="1" t="s">
        <v>770</v>
      </c>
      <c r="H36" s="5">
        <v>1.678599537037037</v>
      </c>
    </row>
    <row r="37" spans="1:8" ht="12" customHeight="1">
      <c r="A37" s="26">
        <v>34252</v>
      </c>
      <c r="B37" s="27" t="s">
        <v>771</v>
      </c>
      <c r="C37" s="24" t="s">
        <v>599</v>
      </c>
      <c r="D37" s="24" t="s">
        <v>750</v>
      </c>
      <c r="E37" s="1" t="s">
        <v>772</v>
      </c>
      <c r="F37" s="1"/>
      <c r="G37" s="1" t="s">
        <v>773</v>
      </c>
      <c r="H37" s="5">
        <v>1.591238425925926</v>
      </c>
    </row>
    <row r="38" spans="1:8" ht="12" customHeight="1">
      <c r="A38" s="26">
        <v>34601</v>
      </c>
      <c r="B38" s="27" t="s">
        <v>774</v>
      </c>
      <c r="C38" s="24" t="s">
        <v>598</v>
      </c>
      <c r="D38" s="24" t="s">
        <v>775</v>
      </c>
      <c r="E38" s="1" t="s">
        <v>776</v>
      </c>
      <c r="F38" s="1"/>
      <c r="G38" s="1" t="s">
        <v>777</v>
      </c>
      <c r="H38" s="5">
        <v>1.6472222222222221</v>
      </c>
    </row>
    <row r="39" spans="1:8" ht="12" customHeight="1">
      <c r="A39" s="26">
        <v>34965</v>
      </c>
      <c r="B39" s="27" t="s">
        <v>684</v>
      </c>
      <c r="C39" s="24" t="s">
        <v>632</v>
      </c>
      <c r="D39" s="24" t="s">
        <v>778</v>
      </c>
      <c r="E39" s="1" t="s">
        <v>779</v>
      </c>
      <c r="F39" s="1"/>
      <c r="G39" s="1" t="s">
        <v>780</v>
      </c>
      <c r="H39" s="5">
        <v>1.5252893518518518</v>
      </c>
    </row>
    <row r="40" spans="1:8" ht="12" customHeight="1">
      <c r="A40" s="26">
        <v>35337</v>
      </c>
      <c r="B40" s="27" t="s">
        <v>753</v>
      </c>
      <c r="C40" s="24" t="s">
        <v>781</v>
      </c>
      <c r="D40" s="24" t="s">
        <v>782</v>
      </c>
      <c r="E40" s="1" t="s">
        <v>783</v>
      </c>
      <c r="F40" s="1"/>
      <c r="G40" s="1" t="s">
        <v>784</v>
      </c>
      <c r="H40" s="5">
        <v>1.5493287037037036</v>
      </c>
    </row>
    <row r="41" spans="1:8" ht="12" customHeight="1">
      <c r="A41" s="26">
        <v>35749</v>
      </c>
      <c r="B41" s="27" t="s">
        <v>737</v>
      </c>
      <c r="C41" s="24" t="s">
        <v>785</v>
      </c>
      <c r="D41" s="24" t="s">
        <v>786</v>
      </c>
      <c r="E41" s="1" t="s">
        <v>787</v>
      </c>
      <c r="F41" s="1"/>
      <c r="G41" s="1" t="s">
        <v>788</v>
      </c>
      <c r="H41" s="5">
        <v>1.5994328703703704</v>
      </c>
    </row>
    <row r="42" spans="1:8" ht="12" customHeight="1">
      <c r="A42" s="26">
        <v>36064</v>
      </c>
      <c r="B42" s="27" t="s">
        <v>789</v>
      </c>
      <c r="C42" s="24" t="s">
        <v>790</v>
      </c>
      <c r="D42" s="24" t="s">
        <v>791</v>
      </c>
      <c r="E42" s="1" t="s">
        <v>792</v>
      </c>
      <c r="F42" s="1"/>
      <c r="G42" s="1" t="s">
        <v>793</v>
      </c>
      <c r="H42" s="5">
        <v>1.6001620370370369</v>
      </c>
    </row>
    <row r="43" spans="1:8" ht="12" customHeight="1">
      <c r="A43" s="26">
        <v>36428</v>
      </c>
      <c r="B43" s="27" t="s">
        <v>729</v>
      </c>
      <c r="C43" s="24" t="s">
        <v>592</v>
      </c>
      <c r="D43" s="24" t="s">
        <v>794</v>
      </c>
      <c r="E43" s="1" t="s">
        <v>795</v>
      </c>
      <c r="F43" s="1" t="s">
        <v>950</v>
      </c>
      <c r="G43" s="1" t="s">
        <v>796</v>
      </c>
      <c r="H43" s="5">
        <v>1.5834606481481481</v>
      </c>
    </row>
    <row r="44" spans="1:8" ht="12" customHeight="1">
      <c r="A44" s="26">
        <v>36793</v>
      </c>
      <c r="B44" s="27" t="s">
        <v>797</v>
      </c>
      <c r="C44" s="24" t="s">
        <v>599</v>
      </c>
      <c r="D44" s="24" t="s">
        <v>798</v>
      </c>
      <c r="E44" s="1" t="s">
        <v>799</v>
      </c>
      <c r="F44" s="1" t="s">
        <v>954</v>
      </c>
      <c r="G44" s="1" t="s">
        <v>800</v>
      </c>
      <c r="H44" s="5">
        <v>1.5827662037037038</v>
      </c>
    </row>
    <row r="45" spans="1:8" ht="12" customHeight="1">
      <c r="A45" s="26">
        <v>37157</v>
      </c>
      <c r="B45" s="27" t="s">
        <v>801</v>
      </c>
      <c r="C45" s="24" t="s">
        <v>802</v>
      </c>
      <c r="D45" s="24" t="s">
        <v>803</v>
      </c>
      <c r="E45" s="1" t="s">
        <v>804</v>
      </c>
      <c r="F45" s="1" t="s">
        <v>955</v>
      </c>
      <c r="G45" s="1" t="s">
        <v>805</v>
      </c>
      <c r="H45" s="5">
        <v>1.5883217592592593</v>
      </c>
    </row>
    <row r="46" spans="1:8" ht="12" customHeight="1">
      <c r="A46" s="26">
        <v>37528</v>
      </c>
      <c r="B46" s="27" t="s">
        <v>749</v>
      </c>
      <c r="C46" s="24" t="s">
        <v>734</v>
      </c>
      <c r="D46" s="24" t="s">
        <v>735</v>
      </c>
      <c r="E46" s="1" t="s">
        <v>806</v>
      </c>
      <c r="F46" s="1" t="s">
        <v>957</v>
      </c>
      <c r="G46" s="1" t="s">
        <v>807</v>
      </c>
      <c r="H46" s="5">
        <v>1.5662268518518518</v>
      </c>
    </row>
    <row r="47" spans="1:8" ht="12" customHeight="1">
      <c r="A47" s="26">
        <v>37737</v>
      </c>
      <c r="B47" s="27" t="s">
        <v>808</v>
      </c>
      <c r="C47" s="24" t="s">
        <v>595</v>
      </c>
      <c r="D47" s="24" t="s">
        <v>716</v>
      </c>
      <c r="E47" s="1" t="s">
        <v>809</v>
      </c>
      <c r="F47" s="1" t="s">
        <v>956</v>
      </c>
      <c r="G47" s="1" t="s">
        <v>810</v>
      </c>
      <c r="H47" s="5">
        <v>1.572349537037037</v>
      </c>
    </row>
    <row r="48" spans="1:8" ht="12" customHeight="1">
      <c r="A48" s="26">
        <v>37919</v>
      </c>
      <c r="B48" s="27" t="s">
        <v>811</v>
      </c>
      <c r="C48" s="24" t="s">
        <v>592</v>
      </c>
      <c r="D48" s="24" t="s">
        <v>812</v>
      </c>
      <c r="E48" s="1" t="s">
        <v>813</v>
      </c>
      <c r="F48" s="1" t="s">
        <v>954</v>
      </c>
      <c r="G48" s="1" t="s">
        <v>800</v>
      </c>
      <c r="H48" s="5">
        <v>1.561238425925926</v>
      </c>
    </row>
    <row r="49" spans="1:8" ht="12" customHeight="1">
      <c r="A49" s="26">
        <v>38214</v>
      </c>
      <c r="B49" s="27" t="s">
        <v>715</v>
      </c>
      <c r="C49" s="24" t="s">
        <v>602</v>
      </c>
      <c r="D49" s="24" t="s">
        <v>744</v>
      </c>
      <c r="E49" s="1" t="s">
        <v>814</v>
      </c>
      <c r="F49" s="1" t="s">
        <v>952</v>
      </c>
      <c r="G49" s="1" t="s">
        <v>815</v>
      </c>
      <c r="H49" s="5">
        <v>1.5634722222222222</v>
      </c>
    </row>
    <row r="50" spans="1:8" ht="12" customHeight="1">
      <c r="A50" s="26">
        <v>38424</v>
      </c>
      <c r="B50" s="27" t="s">
        <v>733</v>
      </c>
      <c r="C50" s="24" t="s">
        <v>659</v>
      </c>
      <c r="D50" s="24" t="s">
        <v>816</v>
      </c>
      <c r="E50" s="1" t="s">
        <v>817</v>
      </c>
      <c r="F50" s="1" t="s">
        <v>953</v>
      </c>
      <c r="G50" s="1" t="s">
        <v>818</v>
      </c>
      <c r="H50" s="5">
        <v>1.5562731481481482</v>
      </c>
    </row>
    <row r="51" spans="1:9" ht="12" customHeight="1">
      <c r="A51" s="26">
        <v>38612</v>
      </c>
      <c r="B51" s="27" t="s">
        <v>819</v>
      </c>
      <c r="C51" s="24" t="s">
        <v>725</v>
      </c>
      <c r="D51" s="24" t="s">
        <v>726</v>
      </c>
      <c r="E51" s="1" t="s">
        <v>820</v>
      </c>
      <c r="F51" s="1" t="s">
        <v>951</v>
      </c>
      <c r="G51" s="1" t="s">
        <v>821</v>
      </c>
      <c r="H51" s="5">
        <v>1.558460648148148</v>
      </c>
      <c r="I51" t="s">
        <v>822</v>
      </c>
    </row>
    <row r="52" spans="1:8" ht="12" customHeight="1">
      <c r="A52" s="26">
        <v>38955</v>
      </c>
      <c r="B52" s="27" t="s">
        <v>823</v>
      </c>
      <c r="C52" s="24" t="s">
        <v>593</v>
      </c>
      <c r="D52" s="24" t="s">
        <v>23</v>
      </c>
      <c r="E52" s="1" t="s">
        <v>824</v>
      </c>
      <c r="F52" s="1" t="s">
        <v>950</v>
      </c>
      <c r="G52" s="1" t="s">
        <v>796</v>
      </c>
      <c r="H52" s="5">
        <v>1.5952662037037035</v>
      </c>
    </row>
    <row r="53" spans="1:8" ht="12" customHeight="1">
      <c r="A53" s="26">
        <v>39319</v>
      </c>
      <c r="B53" s="27" t="s">
        <v>825</v>
      </c>
      <c r="C53" s="24" t="s">
        <v>690</v>
      </c>
      <c r="D53" s="24" t="s">
        <v>826</v>
      </c>
      <c r="E53" s="1" t="s">
        <v>827</v>
      </c>
      <c r="F53" s="1" t="s">
        <v>949</v>
      </c>
      <c r="G53" s="1" t="s">
        <v>828</v>
      </c>
      <c r="H53" s="5">
        <v>1.5972222222222223</v>
      </c>
    </row>
    <row r="54" spans="1:8" ht="12" customHeight="1">
      <c r="A54" s="26">
        <v>39543</v>
      </c>
      <c r="B54" s="27" t="s">
        <v>829</v>
      </c>
      <c r="C54" s="24" t="s">
        <v>596</v>
      </c>
      <c r="D54" s="24" t="s">
        <v>830</v>
      </c>
      <c r="E54" s="1" t="s">
        <v>831</v>
      </c>
      <c r="F54" s="1" t="s">
        <v>948</v>
      </c>
      <c r="G54" s="1" t="s">
        <v>832</v>
      </c>
      <c r="H54" s="5">
        <v>1.5493171296296298</v>
      </c>
    </row>
    <row r="55" spans="1:9" ht="12" customHeight="1">
      <c r="A55" s="26">
        <v>39705</v>
      </c>
      <c r="B55" s="27" t="s">
        <v>801</v>
      </c>
      <c r="C55" s="24" t="s">
        <v>593</v>
      </c>
      <c r="D55" s="24" t="s">
        <v>833</v>
      </c>
      <c r="E55" s="1" t="s">
        <v>834</v>
      </c>
      <c r="F55" s="1" t="s">
        <v>947</v>
      </c>
      <c r="G55" s="1" t="s">
        <v>835</v>
      </c>
      <c r="H55" s="5">
        <v>1.7029050925925926</v>
      </c>
      <c r="I55" t="s">
        <v>836</v>
      </c>
    </row>
    <row r="56" spans="1:8" ht="12" customHeight="1">
      <c r="A56" s="26">
        <v>40103</v>
      </c>
      <c r="B56" s="27" t="s">
        <v>837</v>
      </c>
      <c r="C56" s="24" t="s">
        <v>593</v>
      </c>
      <c r="D56" s="24" t="s">
        <v>833</v>
      </c>
      <c r="E56" s="19" t="s">
        <v>838</v>
      </c>
      <c r="F56" s="19" t="s">
        <v>946</v>
      </c>
      <c r="G56" s="1" t="s">
        <v>839</v>
      </c>
      <c r="H56" s="28">
        <v>1.5097569444444445</v>
      </c>
    </row>
    <row r="57" spans="1:8" ht="12" customHeight="1">
      <c r="A57" s="24"/>
      <c r="B57" s="27"/>
      <c r="C57" s="24"/>
      <c r="D57" s="24"/>
      <c r="E57" s="1"/>
      <c r="F57" s="1"/>
      <c r="G57" s="1"/>
      <c r="H57" s="1"/>
    </row>
    <row r="58" spans="1:8" ht="12.75">
      <c r="A58" s="1">
        <v>2010</v>
      </c>
      <c r="B58" s="1" t="s">
        <v>840</v>
      </c>
      <c r="C58" s="1" t="s">
        <v>706</v>
      </c>
      <c r="D58" s="1" t="s">
        <v>841</v>
      </c>
      <c r="E58" s="1"/>
      <c r="F58" s="1"/>
      <c r="G58" s="1"/>
      <c r="H58" s="1"/>
    </row>
    <row r="59" spans="1:8" ht="12.75">
      <c r="A59" s="1">
        <v>2011</v>
      </c>
      <c r="B59" s="1" t="s">
        <v>842</v>
      </c>
      <c r="C59" s="1" t="s">
        <v>843</v>
      </c>
      <c r="D59" s="1" t="s">
        <v>844</v>
      </c>
      <c r="E59" s="1"/>
      <c r="F59" s="1"/>
      <c r="G59" s="1"/>
      <c r="H59" s="1"/>
    </row>
    <row r="60" spans="1:8" ht="12.75">
      <c r="A60" s="1">
        <v>2011</v>
      </c>
      <c r="B60" s="1" t="s">
        <v>845</v>
      </c>
      <c r="C60" s="1" t="s">
        <v>659</v>
      </c>
      <c r="D60" s="1" t="s">
        <v>846</v>
      </c>
      <c r="E60" s="1"/>
      <c r="F60" s="1"/>
      <c r="G60" s="1"/>
      <c r="H60" s="1"/>
    </row>
    <row r="61" spans="1:8" ht="12.75">
      <c r="A61" s="2">
        <v>2012</v>
      </c>
      <c r="B61" s="1" t="s">
        <v>847</v>
      </c>
      <c r="C61" s="1" t="s">
        <v>706</v>
      </c>
      <c r="D61" s="1" t="s">
        <v>741</v>
      </c>
      <c r="E61" s="1"/>
      <c r="F61" s="1"/>
      <c r="G61" s="1"/>
      <c r="H61" s="1"/>
    </row>
    <row r="62" spans="1:8" ht="12.75">
      <c r="A62" s="2">
        <v>2013</v>
      </c>
      <c r="B62" s="1" t="s">
        <v>848</v>
      </c>
      <c r="C62" s="1" t="s">
        <v>592</v>
      </c>
      <c r="D62" s="1" t="s">
        <v>812</v>
      </c>
      <c r="E62" s="1"/>
      <c r="F62" s="1"/>
      <c r="G62" s="1"/>
      <c r="H62" s="1"/>
    </row>
    <row r="63" spans="1:8" ht="12.75">
      <c r="A63" s="2">
        <v>2014</v>
      </c>
      <c r="B63" s="2" t="s">
        <v>842</v>
      </c>
      <c r="C63" s="2" t="s">
        <v>599</v>
      </c>
      <c r="D63" s="2" t="s">
        <v>849</v>
      </c>
      <c r="E63" s="1"/>
      <c r="F63" s="1"/>
      <c r="G63" s="1"/>
      <c r="H63" s="1"/>
    </row>
    <row r="64" spans="1:8" ht="12.75">
      <c r="A64" s="2">
        <v>2014</v>
      </c>
      <c r="B64" s="2" t="s">
        <v>847</v>
      </c>
      <c r="C64" s="2" t="s">
        <v>599</v>
      </c>
      <c r="D64" s="2" t="s">
        <v>850</v>
      </c>
      <c r="E64" s="1"/>
      <c r="F64" s="1"/>
      <c r="G64" s="1"/>
      <c r="H64" s="1"/>
    </row>
    <row r="65" spans="1:8" ht="12.75">
      <c r="A65" s="2">
        <v>2015</v>
      </c>
      <c r="B65" s="2" t="s">
        <v>847</v>
      </c>
      <c r="C65" s="2" t="s">
        <v>587</v>
      </c>
      <c r="D65" s="2" t="s">
        <v>851</v>
      </c>
      <c r="E65" s="1"/>
      <c r="F65" s="1"/>
      <c r="G65" s="1"/>
      <c r="H65" s="1"/>
    </row>
    <row r="66" spans="1:4" ht="12.75">
      <c r="A66" s="29"/>
      <c r="B66" s="29"/>
      <c r="C66" s="29"/>
      <c r="D66" s="29"/>
    </row>
    <row r="68" spans="1:7" ht="12.75">
      <c r="A68" s="166" t="s">
        <v>853</v>
      </c>
      <c r="B68" s="132"/>
      <c r="C68" s="132"/>
      <c r="D68" s="132"/>
      <c r="E68" s="132"/>
      <c r="F68" s="132"/>
      <c r="G68" s="167"/>
    </row>
    <row r="69" spans="1:7" ht="6.75" customHeight="1">
      <c r="A69" s="138" t="s">
        <v>854</v>
      </c>
      <c r="B69" s="138"/>
      <c r="C69" s="138"/>
      <c r="D69" s="138"/>
      <c r="E69" s="138"/>
      <c r="F69" s="138"/>
      <c r="G69" s="138"/>
    </row>
    <row r="70" spans="1:7" ht="4.5" customHeight="1">
      <c r="A70" s="138"/>
      <c r="B70" s="138"/>
      <c r="C70" s="138"/>
      <c r="D70" s="138"/>
      <c r="E70" s="138"/>
      <c r="F70" s="138"/>
      <c r="G70" s="138"/>
    </row>
    <row r="71" spans="1:8" ht="12.75">
      <c r="A71" s="26">
        <v>37157</v>
      </c>
      <c r="B71" s="27" t="s">
        <v>801</v>
      </c>
      <c r="C71" s="24" t="s">
        <v>802</v>
      </c>
      <c r="D71" s="24" t="s">
        <v>803</v>
      </c>
      <c r="E71" s="1" t="s">
        <v>855</v>
      </c>
      <c r="F71" s="1"/>
      <c r="G71" s="1" t="s">
        <v>856</v>
      </c>
      <c r="H71" s="5">
        <v>1.6328356481481483</v>
      </c>
    </row>
    <row r="72" spans="1:8" ht="12.75">
      <c r="A72" s="26">
        <v>37528</v>
      </c>
      <c r="B72" s="27" t="s">
        <v>749</v>
      </c>
      <c r="C72" s="24" t="s">
        <v>734</v>
      </c>
      <c r="D72" s="24" t="s">
        <v>735</v>
      </c>
      <c r="E72" s="1" t="s">
        <v>857</v>
      </c>
      <c r="F72" s="1"/>
      <c r="G72" s="1" t="s">
        <v>858</v>
      </c>
      <c r="H72" s="5">
        <v>1.6625115740740741</v>
      </c>
    </row>
    <row r="73" spans="1:8" ht="12.75">
      <c r="A73" s="26">
        <v>37737</v>
      </c>
      <c r="B73" s="27" t="s">
        <v>808</v>
      </c>
      <c r="C73" s="24" t="s">
        <v>595</v>
      </c>
      <c r="D73" s="24" t="s">
        <v>716</v>
      </c>
      <c r="E73" s="1" t="s">
        <v>859</v>
      </c>
      <c r="F73" s="1"/>
      <c r="G73" s="1" t="s">
        <v>860</v>
      </c>
      <c r="H73" s="5">
        <v>1.6597222222222223</v>
      </c>
    </row>
    <row r="74" spans="1:8" ht="12.75">
      <c r="A74" s="26">
        <v>37919</v>
      </c>
      <c r="B74" s="27" t="s">
        <v>811</v>
      </c>
      <c r="C74" s="24" t="s">
        <v>592</v>
      </c>
      <c r="D74" s="24" t="s">
        <v>812</v>
      </c>
      <c r="E74" s="1" t="s">
        <v>861</v>
      </c>
      <c r="F74" s="1"/>
      <c r="G74" s="1" t="s">
        <v>862</v>
      </c>
      <c r="H74" s="5">
        <v>1.6585879629629632</v>
      </c>
    </row>
    <row r="75" spans="1:8" ht="12.75">
      <c r="A75" s="26">
        <v>38214</v>
      </c>
      <c r="B75" s="27" t="s">
        <v>715</v>
      </c>
      <c r="C75" s="24" t="s">
        <v>602</v>
      </c>
      <c r="D75" s="24" t="s">
        <v>744</v>
      </c>
      <c r="E75" s="1" t="s">
        <v>863</v>
      </c>
      <c r="F75" s="1"/>
      <c r="G75" s="1" t="s">
        <v>864</v>
      </c>
      <c r="H75" s="5">
        <v>1.6333564814814814</v>
      </c>
    </row>
    <row r="76" spans="1:8" ht="12.75">
      <c r="A76" s="26">
        <v>38424</v>
      </c>
      <c r="B76" s="27" t="s">
        <v>733</v>
      </c>
      <c r="C76" s="24" t="s">
        <v>659</v>
      </c>
      <c r="D76" s="24" t="s">
        <v>816</v>
      </c>
      <c r="E76" s="1" t="s">
        <v>865</v>
      </c>
      <c r="F76" s="1"/>
      <c r="G76" s="1" t="s">
        <v>866</v>
      </c>
      <c r="H76" s="5">
        <v>1.6238657407407409</v>
      </c>
    </row>
    <row r="77" spans="1:9" ht="12.75">
      <c r="A77" s="26">
        <v>38612</v>
      </c>
      <c r="B77" s="27" t="s">
        <v>819</v>
      </c>
      <c r="C77" s="24" t="s">
        <v>725</v>
      </c>
      <c r="D77" s="24" t="s">
        <v>726</v>
      </c>
      <c r="E77" s="1" t="s">
        <v>867</v>
      </c>
      <c r="F77" s="1"/>
      <c r="G77" s="1" t="s">
        <v>868</v>
      </c>
      <c r="H77" s="5">
        <v>1.620960648148148</v>
      </c>
      <c r="I77" t="s">
        <v>822</v>
      </c>
    </row>
    <row r="78" spans="1:8" ht="12.75">
      <c r="A78" s="26">
        <v>38955</v>
      </c>
      <c r="B78" s="27" t="s">
        <v>823</v>
      </c>
      <c r="C78" s="24" t="s">
        <v>593</v>
      </c>
      <c r="D78" s="24" t="s">
        <v>23</v>
      </c>
      <c r="E78" s="1" t="s">
        <v>869</v>
      </c>
      <c r="F78" s="1"/>
      <c r="G78" s="1" t="s">
        <v>870</v>
      </c>
      <c r="H78" s="5">
        <v>1.6112384259259258</v>
      </c>
    </row>
    <row r="79" spans="1:8" ht="12.75">
      <c r="A79" s="26">
        <v>39319</v>
      </c>
      <c r="B79" s="27" t="s">
        <v>825</v>
      </c>
      <c r="C79" s="24" t="s">
        <v>690</v>
      </c>
      <c r="D79" s="24" t="s">
        <v>826</v>
      </c>
      <c r="E79" s="1" t="s">
        <v>871</v>
      </c>
      <c r="F79" s="1"/>
      <c r="G79" s="1" t="s">
        <v>872</v>
      </c>
      <c r="H79" s="5">
        <v>1.6131828703703703</v>
      </c>
    </row>
    <row r="80" spans="1:8" ht="12.75">
      <c r="A80" s="26">
        <v>39543</v>
      </c>
      <c r="B80" s="27" t="s">
        <v>829</v>
      </c>
      <c r="C80" s="24" t="s">
        <v>596</v>
      </c>
      <c r="D80" s="24" t="s">
        <v>830</v>
      </c>
      <c r="E80" s="1" t="s">
        <v>873</v>
      </c>
      <c r="F80" s="1"/>
      <c r="G80" s="1" t="s">
        <v>870</v>
      </c>
      <c r="H80" s="5">
        <v>1.5814583333333332</v>
      </c>
    </row>
    <row r="81" spans="1:9" ht="12.75">
      <c r="A81" s="26">
        <v>39705</v>
      </c>
      <c r="B81" s="27" t="s">
        <v>801</v>
      </c>
      <c r="C81" s="24" t="s">
        <v>593</v>
      </c>
      <c r="D81" s="24" t="s">
        <v>833</v>
      </c>
      <c r="E81" s="1" t="s">
        <v>874</v>
      </c>
      <c r="F81" s="1"/>
      <c r="G81" s="1" t="s">
        <v>875</v>
      </c>
      <c r="H81" s="5">
        <v>1.739097222222222</v>
      </c>
      <c r="I81" t="s">
        <v>836</v>
      </c>
    </row>
    <row r="82" spans="1:8" ht="12.75">
      <c r="A82" s="26">
        <v>40103</v>
      </c>
      <c r="B82" s="27" t="s">
        <v>837</v>
      </c>
      <c r="C82" s="24" t="s">
        <v>593</v>
      </c>
      <c r="D82" s="24" t="s">
        <v>833</v>
      </c>
      <c r="E82" s="2" t="s">
        <v>876</v>
      </c>
      <c r="F82" s="2"/>
      <c r="G82" s="2" t="s">
        <v>877</v>
      </c>
      <c r="H82" s="5">
        <v>1.658460648148148</v>
      </c>
    </row>
    <row r="84" spans="1:7" ht="12.75">
      <c r="A84" s="166" t="s">
        <v>879</v>
      </c>
      <c r="B84" s="132"/>
      <c r="C84" s="132"/>
      <c r="D84" s="132"/>
      <c r="E84" s="132"/>
      <c r="F84" s="132"/>
      <c r="G84" s="167"/>
    </row>
    <row r="85" spans="1:6" ht="12.75">
      <c r="A85" s="26">
        <v>25822</v>
      </c>
      <c r="B85" s="30" t="s">
        <v>880</v>
      </c>
      <c r="C85" s="30" t="s">
        <v>685</v>
      </c>
      <c r="D85" s="30" t="s">
        <v>686</v>
      </c>
      <c r="E85" s="33" t="s">
        <v>907</v>
      </c>
      <c r="F85" s="41"/>
    </row>
    <row r="86" spans="2:6" ht="12.75">
      <c r="B86" s="31" t="s">
        <v>881</v>
      </c>
      <c r="C86" s="31" t="s">
        <v>632</v>
      </c>
      <c r="D86" s="31" t="s">
        <v>695</v>
      </c>
      <c r="E86" s="1"/>
      <c r="F86" s="29"/>
    </row>
    <row r="87" spans="2:6" ht="12.75">
      <c r="B87" s="4" t="s">
        <v>882</v>
      </c>
      <c r="C87" s="4" t="s">
        <v>706</v>
      </c>
      <c r="D87" s="4" t="s">
        <v>841</v>
      </c>
      <c r="E87" s="1"/>
      <c r="F87" s="29"/>
    </row>
    <row r="88" spans="2:6" ht="12.75">
      <c r="B88" s="4" t="s">
        <v>883</v>
      </c>
      <c r="C88" s="4" t="s">
        <v>664</v>
      </c>
      <c r="D88" s="4" t="s">
        <v>665</v>
      </c>
      <c r="E88" s="1"/>
      <c r="F88" s="29"/>
    </row>
    <row r="89" spans="1:6" ht="12.75">
      <c r="A89" s="32">
        <v>27270</v>
      </c>
      <c r="B89" s="30" t="s">
        <v>880</v>
      </c>
      <c r="C89" s="30" t="s">
        <v>599</v>
      </c>
      <c r="D89" s="30" t="s">
        <v>849</v>
      </c>
      <c r="E89" s="1"/>
      <c r="F89" s="29"/>
    </row>
    <row r="90" spans="2:6" ht="12.75">
      <c r="B90" s="31" t="s">
        <v>881</v>
      </c>
      <c r="C90" s="31" t="s">
        <v>706</v>
      </c>
      <c r="D90" s="31" t="s">
        <v>741</v>
      </c>
      <c r="E90" s="1"/>
      <c r="F90" s="29"/>
    </row>
    <row r="91" spans="2:6" ht="12.75">
      <c r="B91" s="4" t="s">
        <v>882</v>
      </c>
      <c r="C91" s="4" t="s">
        <v>589</v>
      </c>
      <c r="D91" s="4" t="s">
        <v>885</v>
      </c>
      <c r="E91" s="1"/>
      <c r="F91" s="29"/>
    </row>
    <row r="92" spans="2:6" ht="12.75">
      <c r="B92" s="4" t="s">
        <v>883</v>
      </c>
      <c r="C92" s="4" t="s">
        <v>884</v>
      </c>
      <c r="D92" s="4" t="s">
        <v>851</v>
      </c>
      <c r="E92" s="1"/>
      <c r="F92" s="29"/>
    </row>
    <row r="93" spans="1:6" ht="12.75">
      <c r="A93" s="32">
        <v>28763</v>
      </c>
      <c r="B93" s="30" t="s">
        <v>880</v>
      </c>
      <c r="C93" s="30" t="s">
        <v>595</v>
      </c>
      <c r="D93" s="30" t="s">
        <v>716</v>
      </c>
      <c r="E93" s="1"/>
      <c r="F93" s="29"/>
    </row>
    <row r="94" spans="2:6" ht="12.75">
      <c r="B94" s="31" t="s">
        <v>881</v>
      </c>
      <c r="C94" s="31" t="s">
        <v>601</v>
      </c>
      <c r="D94" s="31" t="s">
        <v>757</v>
      </c>
      <c r="E94" s="1"/>
      <c r="F94" s="29"/>
    </row>
    <row r="95" spans="2:6" ht="12.75">
      <c r="B95" s="4" t="s">
        <v>882</v>
      </c>
      <c r="C95" s="4" t="s">
        <v>802</v>
      </c>
      <c r="D95" s="4" t="s">
        <v>803</v>
      </c>
      <c r="E95" s="1"/>
      <c r="F95" s="29"/>
    </row>
    <row r="96" spans="2:6" ht="12.75">
      <c r="B96" s="4" t="s">
        <v>883</v>
      </c>
      <c r="C96" s="4" t="s">
        <v>595</v>
      </c>
      <c r="D96" s="4" t="s">
        <v>716</v>
      </c>
      <c r="E96" s="1"/>
      <c r="F96" s="29"/>
    </row>
    <row r="97" spans="1:6" ht="12.75">
      <c r="A97" s="32">
        <v>30251</v>
      </c>
      <c r="B97" s="30" t="s">
        <v>880</v>
      </c>
      <c r="C97" s="30" t="s">
        <v>734</v>
      </c>
      <c r="D97" s="30" t="s">
        <v>735</v>
      </c>
      <c r="E97" s="1"/>
      <c r="F97" s="29"/>
    </row>
    <row r="98" spans="2:6" ht="12.75">
      <c r="B98" s="31" t="s">
        <v>881</v>
      </c>
      <c r="C98" s="31" t="s">
        <v>886</v>
      </c>
      <c r="D98" s="31" t="s">
        <v>887</v>
      </c>
      <c r="E98" s="1"/>
      <c r="F98" s="29"/>
    </row>
    <row r="99" spans="2:6" ht="12.75">
      <c r="B99" s="4" t="s">
        <v>882</v>
      </c>
      <c r="C99" s="4" t="s">
        <v>627</v>
      </c>
      <c r="D99" s="4" t="s">
        <v>628</v>
      </c>
      <c r="E99" s="1"/>
      <c r="F99" s="29"/>
    </row>
    <row r="100" spans="2:6" ht="12.75">
      <c r="B100" s="4" t="s">
        <v>883</v>
      </c>
      <c r="C100" s="4" t="s">
        <v>601</v>
      </c>
      <c r="D100" s="4" t="s">
        <v>757</v>
      </c>
      <c r="E100" s="1"/>
      <c r="F100" s="29"/>
    </row>
    <row r="101" spans="1:6" ht="12.75">
      <c r="A101" s="32">
        <v>30984</v>
      </c>
      <c r="B101" s="30" t="s">
        <v>880</v>
      </c>
      <c r="C101" s="30" t="s">
        <v>706</v>
      </c>
      <c r="D101" s="30" t="s">
        <v>741</v>
      </c>
      <c r="E101" s="1"/>
      <c r="F101" s="29"/>
    </row>
    <row r="102" spans="2:6" ht="12.75">
      <c r="B102" s="31" t="s">
        <v>881</v>
      </c>
      <c r="C102" s="31" t="s">
        <v>706</v>
      </c>
      <c r="D102" s="31" t="s">
        <v>841</v>
      </c>
      <c r="E102" s="1"/>
      <c r="F102" s="29"/>
    </row>
    <row r="103" spans="2:6" ht="12.75">
      <c r="B103" s="4" t="s">
        <v>882</v>
      </c>
      <c r="C103" s="4" t="s">
        <v>592</v>
      </c>
      <c r="D103" s="4" t="s">
        <v>812</v>
      </c>
      <c r="E103" s="1"/>
      <c r="F103" s="29"/>
    </row>
    <row r="104" spans="2:6" ht="12.75">
      <c r="B104" s="4" t="s">
        <v>883</v>
      </c>
      <c r="C104" s="4" t="s">
        <v>706</v>
      </c>
      <c r="D104" s="4" t="s">
        <v>888</v>
      </c>
      <c r="E104" s="1"/>
      <c r="F104" s="29"/>
    </row>
    <row r="105" spans="1:6" ht="12.75">
      <c r="A105" s="32">
        <v>31690</v>
      </c>
      <c r="B105" s="30" t="s">
        <v>880</v>
      </c>
      <c r="C105" s="30" t="s">
        <v>599</v>
      </c>
      <c r="D105" s="30" t="s">
        <v>747</v>
      </c>
      <c r="E105" s="1"/>
      <c r="F105" s="29"/>
    </row>
    <row r="106" spans="2:6" ht="12.75">
      <c r="B106" s="31" t="s">
        <v>881</v>
      </c>
      <c r="C106" s="31" t="s">
        <v>592</v>
      </c>
      <c r="D106" s="31" t="s">
        <v>794</v>
      </c>
      <c r="E106" s="1"/>
      <c r="F106" s="29"/>
    </row>
    <row r="107" spans="2:6" ht="12.75">
      <c r="B107" s="4" t="s">
        <v>882</v>
      </c>
      <c r="C107" s="4" t="s">
        <v>592</v>
      </c>
      <c r="D107" s="4" t="s">
        <v>889</v>
      </c>
      <c r="E107" s="1"/>
      <c r="F107" s="29"/>
    </row>
    <row r="108" spans="2:6" ht="12.75">
      <c r="B108" s="4" t="s">
        <v>883</v>
      </c>
      <c r="C108" s="4" t="s">
        <v>599</v>
      </c>
      <c r="D108" s="4" t="s">
        <v>849</v>
      </c>
      <c r="E108" s="1"/>
      <c r="F108" s="29"/>
    </row>
    <row r="109" spans="1:6" ht="12.75">
      <c r="A109" s="32">
        <v>32423</v>
      </c>
      <c r="B109" s="30" t="s">
        <v>880</v>
      </c>
      <c r="C109" s="30" t="s">
        <v>685</v>
      </c>
      <c r="D109" s="30" t="s">
        <v>686</v>
      </c>
      <c r="E109" s="1"/>
      <c r="F109" s="29"/>
    </row>
    <row r="110" spans="2:6" ht="12.75">
      <c r="B110" s="31" t="s">
        <v>881</v>
      </c>
      <c r="C110" s="31" t="s">
        <v>601</v>
      </c>
      <c r="D110" s="31" t="s">
        <v>890</v>
      </c>
      <c r="E110" s="1"/>
      <c r="F110" s="29"/>
    </row>
    <row r="111" spans="2:6" ht="12.75">
      <c r="B111" s="4" t="s">
        <v>882</v>
      </c>
      <c r="C111" s="4" t="s">
        <v>592</v>
      </c>
      <c r="D111" s="4" t="s">
        <v>812</v>
      </c>
      <c r="E111" s="1"/>
      <c r="F111" s="29"/>
    </row>
    <row r="112" spans="2:6" ht="12.75">
      <c r="B112" s="4" t="s">
        <v>883</v>
      </c>
      <c r="C112" s="4" t="s">
        <v>677</v>
      </c>
      <c r="D112" s="4" t="s">
        <v>891</v>
      </c>
      <c r="E112" s="1"/>
      <c r="F112" s="29"/>
    </row>
    <row r="113" spans="1:6" ht="12.75">
      <c r="A113" s="32">
        <v>32802</v>
      </c>
      <c r="B113" s="30" t="s">
        <v>880</v>
      </c>
      <c r="C113" s="30" t="s">
        <v>601</v>
      </c>
      <c r="D113" s="30" t="s">
        <v>757</v>
      </c>
      <c r="E113" s="1"/>
      <c r="F113" s="29"/>
    </row>
    <row r="114" spans="2:6" ht="12.75">
      <c r="B114" s="31" t="s">
        <v>881</v>
      </c>
      <c r="C114" s="31" t="s">
        <v>601</v>
      </c>
      <c r="D114" s="31" t="s">
        <v>890</v>
      </c>
      <c r="E114" s="1"/>
      <c r="F114" s="29"/>
    </row>
    <row r="115" spans="2:6" ht="12.75">
      <c r="B115" s="4" t="s">
        <v>882</v>
      </c>
      <c r="C115" s="4" t="s">
        <v>677</v>
      </c>
      <c r="D115" s="4" t="s">
        <v>892</v>
      </c>
      <c r="E115" s="1"/>
      <c r="F115" s="29"/>
    </row>
    <row r="116" spans="2:6" ht="12.75">
      <c r="B116" s="4" t="s">
        <v>883</v>
      </c>
      <c r="C116" s="4" t="s">
        <v>601</v>
      </c>
      <c r="D116" s="4" t="s">
        <v>893</v>
      </c>
      <c r="E116" s="1"/>
      <c r="F116" s="29"/>
    </row>
    <row r="117" spans="1:6" ht="12.75">
      <c r="A117" s="32">
        <v>33167</v>
      </c>
      <c r="B117" s="30" t="s">
        <v>880</v>
      </c>
      <c r="C117" s="30" t="s">
        <v>592</v>
      </c>
      <c r="D117" s="30" t="s">
        <v>761</v>
      </c>
      <c r="E117" s="1"/>
      <c r="F117" s="29"/>
    </row>
    <row r="118" spans="2:6" ht="12.75">
      <c r="B118" s="31" t="s">
        <v>881</v>
      </c>
      <c r="C118" s="31" t="s">
        <v>632</v>
      </c>
      <c r="D118" s="31" t="s">
        <v>894</v>
      </c>
      <c r="E118" s="1"/>
      <c r="F118" s="29"/>
    </row>
    <row r="119" spans="2:6" ht="12.75">
      <c r="B119" s="4" t="s">
        <v>882</v>
      </c>
      <c r="C119" s="4" t="s">
        <v>802</v>
      </c>
      <c r="D119" s="4" t="s">
        <v>803</v>
      </c>
      <c r="E119" s="1"/>
      <c r="F119" s="29"/>
    </row>
    <row r="120" spans="2:6" ht="12.75">
      <c r="B120" s="4" t="s">
        <v>883</v>
      </c>
      <c r="C120" s="4" t="s">
        <v>627</v>
      </c>
      <c r="D120" s="4" t="s">
        <v>92</v>
      </c>
      <c r="E120" s="1"/>
      <c r="F120" s="29"/>
    </row>
    <row r="121" spans="1:6" ht="12.75">
      <c r="A121" s="32">
        <v>33533</v>
      </c>
      <c r="B121" s="30" t="s">
        <v>880</v>
      </c>
      <c r="C121" s="30" t="s">
        <v>685</v>
      </c>
      <c r="D121" s="30" t="s">
        <v>764</v>
      </c>
      <c r="E121" s="1"/>
      <c r="F121" s="29"/>
    </row>
    <row r="122" spans="2:6" ht="12.75">
      <c r="B122" s="31" t="s">
        <v>881</v>
      </c>
      <c r="C122" s="31" t="s">
        <v>592</v>
      </c>
      <c r="D122" s="31" t="s">
        <v>895</v>
      </c>
      <c r="E122" s="1"/>
      <c r="F122" s="29"/>
    </row>
    <row r="123" spans="2:6" ht="12.75">
      <c r="B123" s="4" t="s">
        <v>882</v>
      </c>
      <c r="C123" s="4" t="s">
        <v>659</v>
      </c>
      <c r="D123" s="4" t="s">
        <v>699</v>
      </c>
      <c r="E123" s="1"/>
      <c r="F123" s="29"/>
    </row>
    <row r="124" spans="2:6" ht="12.75">
      <c r="B124" s="4" t="s">
        <v>883</v>
      </c>
      <c r="C124" s="4" t="s">
        <v>659</v>
      </c>
      <c r="D124" s="4" t="s">
        <v>660</v>
      </c>
      <c r="E124" s="1"/>
      <c r="F124" s="29"/>
    </row>
    <row r="125" spans="1:6" ht="12.75">
      <c r="A125" s="32">
        <v>33902</v>
      </c>
      <c r="B125" s="30" t="s">
        <v>880</v>
      </c>
      <c r="C125" s="30" t="s">
        <v>720</v>
      </c>
      <c r="D125" s="30" t="s">
        <v>768</v>
      </c>
      <c r="E125" s="1"/>
      <c r="F125" s="29"/>
    </row>
    <row r="126" spans="2:6" ht="12.75">
      <c r="B126" s="31" t="s">
        <v>881</v>
      </c>
      <c r="C126" s="31" t="s">
        <v>734</v>
      </c>
      <c r="D126" s="31" t="s">
        <v>735</v>
      </c>
      <c r="E126" s="1"/>
      <c r="F126" s="29"/>
    </row>
    <row r="127" spans="2:6" ht="12.75">
      <c r="B127" s="4" t="s">
        <v>882</v>
      </c>
      <c r="C127" s="4" t="s">
        <v>592</v>
      </c>
      <c r="D127" s="4" t="s">
        <v>761</v>
      </c>
      <c r="E127" s="1"/>
      <c r="F127" s="29"/>
    </row>
    <row r="128" spans="2:6" ht="12.75">
      <c r="B128" s="4" t="s">
        <v>883</v>
      </c>
      <c r="C128" s="4" t="s">
        <v>601</v>
      </c>
      <c r="D128" s="4" t="s">
        <v>890</v>
      </c>
      <c r="E128" s="1"/>
      <c r="F128" s="29"/>
    </row>
    <row r="129" spans="1:6" ht="12.75">
      <c r="A129" s="32">
        <v>34259</v>
      </c>
      <c r="B129" s="30" t="s">
        <v>880</v>
      </c>
      <c r="C129" s="30" t="s">
        <v>599</v>
      </c>
      <c r="D129" s="30" t="s">
        <v>750</v>
      </c>
      <c r="E129" s="1"/>
      <c r="F129" s="29"/>
    </row>
    <row r="130" spans="2:6" ht="12.75">
      <c r="B130" s="31" t="s">
        <v>881</v>
      </c>
      <c r="C130" s="31" t="s">
        <v>601</v>
      </c>
      <c r="D130" s="31" t="s">
        <v>890</v>
      </c>
      <c r="E130" s="1"/>
      <c r="F130" s="29"/>
    </row>
    <row r="131" spans="2:6" ht="12.75">
      <c r="B131" s="4" t="s">
        <v>882</v>
      </c>
      <c r="C131" s="4" t="s">
        <v>595</v>
      </c>
      <c r="D131" s="4" t="s">
        <v>716</v>
      </c>
      <c r="E131" s="1"/>
      <c r="F131" s="29"/>
    </row>
    <row r="132" spans="2:6" ht="12.75">
      <c r="B132" s="4" t="s">
        <v>883</v>
      </c>
      <c r="C132" s="4" t="s">
        <v>598</v>
      </c>
      <c r="D132" s="4" t="s">
        <v>775</v>
      </c>
      <c r="E132" s="1"/>
      <c r="F132" s="29"/>
    </row>
    <row r="133" spans="1:6" ht="12.75">
      <c r="A133" s="32">
        <v>34584</v>
      </c>
      <c r="B133" s="30" t="s">
        <v>880</v>
      </c>
      <c r="C133" s="30" t="s">
        <v>598</v>
      </c>
      <c r="D133" s="30" t="s">
        <v>775</v>
      </c>
      <c r="E133" s="1"/>
      <c r="F133" s="29"/>
    </row>
    <row r="134" spans="2:6" ht="12.75">
      <c r="B134" s="31" t="s">
        <v>881</v>
      </c>
      <c r="C134" s="31" t="s">
        <v>599</v>
      </c>
      <c r="D134" s="31" t="s">
        <v>747</v>
      </c>
      <c r="E134" s="1"/>
      <c r="F134" s="29"/>
    </row>
    <row r="135" spans="2:6" ht="12.75">
      <c r="B135" s="4" t="s">
        <v>882</v>
      </c>
      <c r="C135" s="4" t="s">
        <v>706</v>
      </c>
      <c r="D135" s="4" t="s">
        <v>741</v>
      </c>
      <c r="E135" s="1"/>
      <c r="F135" s="29"/>
    </row>
    <row r="136" spans="2:6" ht="12.75">
      <c r="B136" s="4" t="s">
        <v>883</v>
      </c>
      <c r="C136" s="4" t="s">
        <v>601</v>
      </c>
      <c r="D136" s="4" t="s">
        <v>890</v>
      </c>
      <c r="E136" s="1"/>
      <c r="F136" s="29"/>
    </row>
    <row r="137" spans="1:6" ht="12.75">
      <c r="A137" s="32">
        <v>34958</v>
      </c>
      <c r="B137" s="30" t="s">
        <v>880</v>
      </c>
      <c r="C137" s="30" t="s">
        <v>632</v>
      </c>
      <c r="D137" s="30" t="s">
        <v>778</v>
      </c>
      <c r="E137" s="1"/>
      <c r="F137" s="29"/>
    </row>
    <row r="138" spans="2:6" ht="12.75">
      <c r="B138" s="31" t="s">
        <v>881</v>
      </c>
      <c r="C138" s="31" t="s">
        <v>632</v>
      </c>
      <c r="D138" s="31" t="s">
        <v>896</v>
      </c>
      <c r="E138" s="1"/>
      <c r="F138" s="29"/>
    </row>
    <row r="139" spans="2:6" ht="12.75">
      <c r="B139" s="4" t="s">
        <v>882</v>
      </c>
      <c r="C139" s="4" t="s">
        <v>669</v>
      </c>
      <c r="D139" s="4" t="s">
        <v>670</v>
      </c>
      <c r="E139" s="1"/>
      <c r="F139" s="29"/>
    </row>
    <row r="140" spans="2:6" ht="12.75">
      <c r="B140" s="4" t="s">
        <v>883</v>
      </c>
      <c r="C140" s="4" t="s">
        <v>588</v>
      </c>
      <c r="D140" s="4" t="s">
        <v>892</v>
      </c>
      <c r="E140" s="1"/>
      <c r="F140" s="29"/>
    </row>
    <row r="141" spans="1:6" ht="12.75">
      <c r="A141" s="32">
        <v>35315</v>
      </c>
      <c r="B141" s="30" t="s">
        <v>880</v>
      </c>
      <c r="C141" s="30" t="s">
        <v>781</v>
      </c>
      <c r="D141" s="30" t="s">
        <v>782</v>
      </c>
      <c r="E141" s="1"/>
      <c r="F141" s="29"/>
    </row>
    <row r="142" spans="2:6" ht="12.75">
      <c r="B142" s="31" t="s">
        <v>881</v>
      </c>
      <c r="C142" s="31" t="s">
        <v>592</v>
      </c>
      <c r="D142" s="31" t="s">
        <v>812</v>
      </c>
      <c r="E142" s="1"/>
      <c r="F142" s="29"/>
    </row>
    <row r="143" spans="2:6" ht="12.75">
      <c r="B143" s="4" t="s">
        <v>882</v>
      </c>
      <c r="C143" s="4" t="s">
        <v>601</v>
      </c>
      <c r="D143" s="4" t="s">
        <v>893</v>
      </c>
      <c r="E143" s="1"/>
      <c r="F143" s="29"/>
    </row>
    <row r="144" spans="2:6" ht="12.75">
      <c r="B144" s="4" t="s">
        <v>883</v>
      </c>
      <c r="C144" s="4" t="s">
        <v>706</v>
      </c>
      <c r="D144" s="4" t="s">
        <v>707</v>
      </c>
      <c r="E144" s="1"/>
      <c r="F144" s="29"/>
    </row>
    <row r="145" spans="1:6" ht="12.75">
      <c r="A145" s="32">
        <v>35756</v>
      </c>
      <c r="B145" s="30" t="s">
        <v>880</v>
      </c>
      <c r="C145" s="30" t="s">
        <v>785</v>
      </c>
      <c r="D145" s="30" t="s">
        <v>897</v>
      </c>
      <c r="E145" s="1"/>
      <c r="F145" s="29"/>
    </row>
    <row r="146" spans="2:6" ht="12.75">
      <c r="B146" s="31" t="s">
        <v>881</v>
      </c>
      <c r="C146" s="31" t="s">
        <v>599</v>
      </c>
      <c r="D146" s="31" t="s">
        <v>898</v>
      </c>
      <c r="E146" s="1"/>
      <c r="F146" s="29"/>
    </row>
    <row r="147" spans="2:6" ht="12.75">
      <c r="B147" s="4" t="s">
        <v>882</v>
      </c>
      <c r="C147" s="4" t="s">
        <v>706</v>
      </c>
      <c r="D147" s="4" t="s">
        <v>707</v>
      </c>
      <c r="E147" s="1"/>
      <c r="F147" s="29"/>
    </row>
    <row r="148" spans="2:6" ht="12.75">
      <c r="B148" s="4" t="s">
        <v>883</v>
      </c>
      <c r="C148" s="4" t="s">
        <v>632</v>
      </c>
      <c r="D148" s="4" t="s">
        <v>738</v>
      </c>
      <c r="E148" s="1"/>
      <c r="F148" s="29"/>
    </row>
    <row r="149" spans="1:6" ht="12.75">
      <c r="A149" s="32">
        <v>36066</v>
      </c>
      <c r="B149" s="30" t="s">
        <v>880</v>
      </c>
      <c r="C149" s="30" t="s">
        <v>790</v>
      </c>
      <c r="D149" s="30" t="s">
        <v>791</v>
      </c>
      <c r="E149" s="1"/>
      <c r="F149" s="29"/>
    </row>
    <row r="150" spans="2:6" ht="12.75">
      <c r="B150" s="31" t="s">
        <v>881</v>
      </c>
      <c r="C150" s="31" t="s">
        <v>706</v>
      </c>
      <c r="D150" s="31" t="s">
        <v>841</v>
      </c>
      <c r="E150" s="1"/>
      <c r="F150" s="29"/>
    </row>
    <row r="151" spans="2:6" ht="12.75">
      <c r="B151" s="4" t="s">
        <v>882</v>
      </c>
      <c r="C151" s="4" t="s">
        <v>599</v>
      </c>
      <c r="D151" s="4" t="s">
        <v>898</v>
      </c>
      <c r="E151" s="1"/>
      <c r="F151" s="29"/>
    </row>
    <row r="152" spans="2:6" ht="12.75">
      <c r="B152" s="4" t="s">
        <v>883</v>
      </c>
      <c r="C152" s="4" t="s">
        <v>781</v>
      </c>
      <c r="D152" s="4" t="s">
        <v>782</v>
      </c>
      <c r="E152" s="1"/>
      <c r="F152" s="29"/>
    </row>
    <row r="153" spans="1:6" ht="12.75">
      <c r="A153" s="32">
        <v>36797</v>
      </c>
      <c r="B153" s="30" t="s">
        <v>880</v>
      </c>
      <c r="C153" s="30" t="s">
        <v>599</v>
      </c>
      <c r="D153" s="30" t="s">
        <v>798</v>
      </c>
      <c r="E153" s="1"/>
      <c r="F153" s="29"/>
    </row>
    <row r="154" spans="2:6" ht="12.75">
      <c r="B154" s="31" t="s">
        <v>881</v>
      </c>
      <c r="C154" s="31" t="s">
        <v>599</v>
      </c>
      <c r="D154" s="31" t="s">
        <v>702</v>
      </c>
      <c r="E154" s="1"/>
      <c r="F154" s="29"/>
    </row>
    <row r="155" spans="2:6" ht="12.75">
      <c r="B155" s="4" t="s">
        <v>882</v>
      </c>
      <c r="C155" s="4" t="s">
        <v>654</v>
      </c>
      <c r="D155" s="4" t="s">
        <v>899</v>
      </c>
      <c r="E155" s="1"/>
      <c r="F155" s="29"/>
    </row>
    <row r="156" spans="2:6" ht="12.75">
      <c r="B156" s="4" t="s">
        <v>883</v>
      </c>
      <c r="C156" s="4" t="s">
        <v>886</v>
      </c>
      <c r="D156" s="4" t="s">
        <v>887</v>
      </c>
      <c r="E156" s="1"/>
      <c r="F156" s="29"/>
    </row>
    <row r="157" spans="1:6" ht="12.75">
      <c r="A157" s="32">
        <v>37160</v>
      </c>
      <c r="B157" s="30" t="s">
        <v>880</v>
      </c>
      <c r="C157" s="30" t="s">
        <v>802</v>
      </c>
      <c r="D157" s="30" t="s">
        <v>803</v>
      </c>
      <c r="E157" s="1"/>
      <c r="F157" s="29"/>
    </row>
    <row r="158" spans="2:6" ht="12.75">
      <c r="B158" s="31" t="s">
        <v>881</v>
      </c>
      <c r="C158" s="31" t="s">
        <v>886</v>
      </c>
      <c r="D158" s="31" t="s">
        <v>900</v>
      </c>
      <c r="E158" s="1"/>
      <c r="F158" s="29"/>
    </row>
    <row r="159" spans="2:6" ht="12.75">
      <c r="B159" s="4" t="s">
        <v>882</v>
      </c>
      <c r="C159" s="4" t="s">
        <v>659</v>
      </c>
      <c r="D159" s="4" t="s">
        <v>660</v>
      </c>
      <c r="E159" s="1"/>
      <c r="F159" s="29"/>
    </row>
    <row r="160" spans="2:6" ht="12.75">
      <c r="B160" s="4" t="s">
        <v>883</v>
      </c>
      <c r="C160" s="4" t="s">
        <v>601</v>
      </c>
      <c r="D160" s="4" t="s">
        <v>890</v>
      </c>
      <c r="E160" s="1"/>
      <c r="F160" s="29"/>
    </row>
    <row r="161" spans="1:6" ht="12.75">
      <c r="A161" s="32">
        <v>37530</v>
      </c>
      <c r="B161" s="30" t="s">
        <v>880</v>
      </c>
      <c r="C161" s="30" t="s">
        <v>734</v>
      </c>
      <c r="D161" s="30" t="s">
        <v>735</v>
      </c>
      <c r="E161" s="1"/>
      <c r="F161" s="29"/>
    </row>
    <row r="162" spans="2:6" ht="12.75">
      <c r="B162" s="31" t="s">
        <v>881</v>
      </c>
      <c r="C162" s="31" t="s">
        <v>601</v>
      </c>
      <c r="D162" s="31" t="s">
        <v>757</v>
      </c>
      <c r="E162" s="1"/>
      <c r="F162" s="29"/>
    </row>
    <row r="163" spans="2:6" ht="12.75">
      <c r="B163" s="4" t="s">
        <v>882</v>
      </c>
      <c r="C163" s="4" t="s">
        <v>886</v>
      </c>
      <c r="D163" s="4" t="s">
        <v>901</v>
      </c>
      <c r="E163" s="1"/>
      <c r="F163" s="29"/>
    </row>
    <row r="164" spans="2:6" ht="12.75">
      <c r="B164" s="4" t="s">
        <v>883</v>
      </c>
      <c r="C164" s="4" t="s">
        <v>690</v>
      </c>
      <c r="D164" s="4" t="s">
        <v>826</v>
      </c>
      <c r="E164" s="1"/>
      <c r="F164" s="29"/>
    </row>
    <row r="165" spans="1:6" ht="12.75">
      <c r="A165" s="32">
        <v>37912</v>
      </c>
      <c r="B165" s="30" t="s">
        <v>880</v>
      </c>
      <c r="C165" s="30" t="s">
        <v>592</v>
      </c>
      <c r="D165" s="30" t="s">
        <v>812</v>
      </c>
      <c r="E165" s="1"/>
      <c r="F165" s="29"/>
    </row>
    <row r="166" spans="2:6" ht="12.75">
      <c r="B166" s="31" t="s">
        <v>881</v>
      </c>
      <c r="C166" s="31" t="s">
        <v>601</v>
      </c>
      <c r="D166" s="31" t="s">
        <v>890</v>
      </c>
      <c r="E166" s="1"/>
      <c r="F166" s="29"/>
    </row>
    <row r="167" spans="2:6" ht="12.75">
      <c r="B167" s="4" t="s">
        <v>882</v>
      </c>
      <c r="C167" s="4" t="s">
        <v>706</v>
      </c>
      <c r="D167" s="4" t="s">
        <v>902</v>
      </c>
      <c r="E167" s="1"/>
      <c r="F167" s="29"/>
    </row>
    <row r="168" spans="2:6" ht="12.75">
      <c r="B168" s="4" t="s">
        <v>883</v>
      </c>
      <c r="C168" s="4" t="s">
        <v>706</v>
      </c>
      <c r="D168" s="4" t="s">
        <v>903</v>
      </c>
      <c r="E168" s="1"/>
      <c r="F168" s="29"/>
    </row>
    <row r="169" spans="1:6" ht="12.75">
      <c r="A169" s="32">
        <v>38221</v>
      </c>
      <c r="B169" s="30" t="s">
        <v>880</v>
      </c>
      <c r="C169" s="30" t="s">
        <v>602</v>
      </c>
      <c r="D169" s="30" t="s">
        <v>744</v>
      </c>
      <c r="E169" s="1"/>
      <c r="F169" s="29"/>
    </row>
    <row r="170" spans="2:6" ht="12.75">
      <c r="B170" s="31" t="s">
        <v>881</v>
      </c>
      <c r="C170" s="31" t="s">
        <v>886</v>
      </c>
      <c r="D170" s="31" t="s">
        <v>904</v>
      </c>
      <c r="E170" s="1"/>
      <c r="F170" s="29"/>
    </row>
    <row r="171" spans="2:6" ht="12.75">
      <c r="B171" s="4" t="s">
        <v>882</v>
      </c>
      <c r="C171" s="4" t="s">
        <v>706</v>
      </c>
      <c r="D171" s="4" t="s">
        <v>841</v>
      </c>
      <c r="E171" s="1"/>
      <c r="F171" s="29"/>
    </row>
    <row r="172" spans="2:6" ht="12.75">
      <c r="B172" s="4" t="s">
        <v>883</v>
      </c>
      <c r="C172" s="4" t="s">
        <v>593</v>
      </c>
      <c r="D172" s="4" t="s">
        <v>905</v>
      </c>
      <c r="E172" s="1"/>
      <c r="F172" s="29"/>
    </row>
    <row r="173" spans="1:6" ht="12.75">
      <c r="A173" s="32">
        <v>38426</v>
      </c>
      <c r="B173" s="30" t="s">
        <v>880</v>
      </c>
      <c r="C173" s="30" t="s">
        <v>659</v>
      </c>
      <c r="D173" s="30" t="s">
        <v>699</v>
      </c>
      <c r="E173" s="1"/>
      <c r="F173" s="29"/>
    </row>
    <row r="174" spans="2:6" ht="12.75">
      <c r="B174" s="31" t="s">
        <v>881</v>
      </c>
      <c r="C174" s="31" t="s">
        <v>706</v>
      </c>
      <c r="D174" s="31" t="s">
        <v>707</v>
      </c>
      <c r="E174" s="1"/>
      <c r="F174" s="29"/>
    </row>
    <row r="175" spans="2:6" ht="12.75">
      <c r="B175" s="4" t="s">
        <v>882</v>
      </c>
      <c r="C175" s="4" t="s">
        <v>886</v>
      </c>
      <c r="D175" s="4" t="s">
        <v>887</v>
      </c>
      <c r="E175" s="1"/>
      <c r="F175" s="29"/>
    </row>
    <row r="176" spans="2:6" ht="12.75">
      <c r="B176" s="4" t="s">
        <v>883</v>
      </c>
      <c r="C176" s="4" t="s">
        <v>685</v>
      </c>
      <c r="D176" s="4" t="s">
        <v>686</v>
      </c>
      <c r="E176" s="1"/>
      <c r="F176" s="29"/>
    </row>
    <row r="177" spans="1:6" ht="12.75">
      <c r="A177" s="32">
        <v>38614</v>
      </c>
      <c r="B177" s="30" t="s">
        <v>880</v>
      </c>
      <c r="C177" s="30" t="s">
        <v>725</v>
      </c>
      <c r="D177" s="30" t="s">
        <v>726</v>
      </c>
      <c r="E177" s="1"/>
      <c r="F177" s="29"/>
    </row>
    <row r="178" spans="2:6" ht="12.75">
      <c r="B178" s="31" t="s">
        <v>881</v>
      </c>
      <c r="C178" s="31" t="s">
        <v>600</v>
      </c>
      <c r="D178" s="31" t="s">
        <v>665</v>
      </c>
      <c r="E178" s="1"/>
      <c r="F178" s="29"/>
    </row>
    <row r="179" spans="2:6" ht="12.75">
      <c r="B179" s="4" t="s">
        <v>882</v>
      </c>
      <c r="C179" s="4" t="s">
        <v>587</v>
      </c>
      <c r="D179" s="4" t="s">
        <v>851</v>
      </c>
      <c r="E179" s="1"/>
      <c r="F179" s="29"/>
    </row>
    <row r="180" spans="2:6" ht="12.75">
      <c r="B180" s="4" t="s">
        <v>883</v>
      </c>
      <c r="C180" s="4" t="s">
        <v>706</v>
      </c>
      <c r="D180" s="4" t="s">
        <v>841</v>
      </c>
      <c r="E180" s="1"/>
      <c r="F180" s="29"/>
    </row>
    <row r="181" spans="1:6" ht="12.75">
      <c r="A181" s="32">
        <v>38957</v>
      </c>
      <c r="B181" s="30" t="s">
        <v>880</v>
      </c>
      <c r="C181" s="30" t="s">
        <v>593</v>
      </c>
      <c r="D181" s="30" t="s">
        <v>23</v>
      </c>
      <c r="E181" s="1"/>
      <c r="F181" s="29"/>
    </row>
    <row r="182" spans="2:6" ht="12.75">
      <c r="B182" s="31" t="s">
        <v>881</v>
      </c>
      <c r="C182" s="31" t="s">
        <v>589</v>
      </c>
      <c r="D182" s="31" t="s">
        <v>710</v>
      </c>
      <c r="E182" s="4" t="s">
        <v>916</v>
      </c>
      <c r="F182" s="42"/>
    </row>
    <row r="183" spans="2:6" ht="12.75">
      <c r="B183" s="4" t="s">
        <v>882</v>
      </c>
      <c r="C183" s="4" t="s">
        <v>601</v>
      </c>
      <c r="D183" s="4" t="s">
        <v>890</v>
      </c>
      <c r="E183" s="4" t="s">
        <v>917</v>
      </c>
      <c r="F183" s="42"/>
    </row>
    <row r="184" spans="2:6" ht="12.75">
      <c r="B184" s="4" t="s">
        <v>883</v>
      </c>
      <c r="C184" s="4" t="s">
        <v>592</v>
      </c>
      <c r="D184" s="4" t="s">
        <v>794</v>
      </c>
      <c r="E184" s="4" t="s">
        <v>918</v>
      </c>
      <c r="F184" s="42"/>
    </row>
    <row r="185" spans="1:6" ht="12.75">
      <c r="A185" s="32">
        <v>39323</v>
      </c>
      <c r="B185" s="30" t="s">
        <v>880</v>
      </c>
      <c r="C185" s="30" t="s">
        <v>690</v>
      </c>
      <c r="D185" s="30" t="s">
        <v>826</v>
      </c>
      <c r="E185" s="1"/>
      <c r="F185" s="29"/>
    </row>
    <row r="186" spans="2:6" ht="12.75">
      <c r="B186" s="31" t="s">
        <v>881</v>
      </c>
      <c r="C186" s="31" t="s">
        <v>589</v>
      </c>
      <c r="D186" s="31" t="s">
        <v>885</v>
      </c>
      <c r="E186" s="4" t="s">
        <v>914</v>
      </c>
      <c r="F186" s="42"/>
    </row>
    <row r="187" spans="2:6" ht="12.75">
      <c r="B187" s="4" t="s">
        <v>882</v>
      </c>
      <c r="C187" s="4" t="s">
        <v>596</v>
      </c>
      <c r="D187" s="4" t="s">
        <v>830</v>
      </c>
      <c r="E187" s="4" t="s">
        <v>915</v>
      </c>
      <c r="F187" s="42"/>
    </row>
    <row r="188" spans="2:6" ht="12.75">
      <c r="B188" s="4" t="s">
        <v>883</v>
      </c>
      <c r="C188" s="4" t="s">
        <v>589</v>
      </c>
      <c r="D188" s="4" t="s">
        <v>906</v>
      </c>
      <c r="E188" s="4" t="s">
        <v>912</v>
      </c>
      <c r="F188" s="42"/>
    </row>
    <row r="189" spans="1:6" ht="12.75">
      <c r="A189" s="32">
        <v>39546</v>
      </c>
      <c r="B189" s="30" t="s">
        <v>880</v>
      </c>
      <c r="C189" s="30" t="s">
        <v>596</v>
      </c>
      <c r="D189" s="30" t="s">
        <v>830</v>
      </c>
      <c r="E189" s="1"/>
      <c r="F189" s="29"/>
    </row>
    <row r="190" spans="2:6" ht="12.75">
      <c r="B190" s="31" t="s">
        <v>881</v>
      </c>
      <c r="C190" s="31" t="s">
        <v>706</v>
      </c>
      <c r="D190" s="31" t="s">
        <v>707</v>
      </c>
      <c r="E190" s="4" t="s">
        <v>911</v>
      </c>
      <c r="F190" s="42"/>
    </row>
    <row r="191" spans="2:6" ht="12.75">
      <c r="B191" s="4" t="s">
        <v>882</v>
      </c>
      <c r="C191" s="4" t="s">
        <v>706</v>
      </c>
      <c r="D191" s="4" t="s">
        <v>741</v>
      </c>
      <c r="E191" s="1" t="s">
        <v>909</v>
      </c>
      <c r="F191" s="29"/>
    </row>
    <row r="192" spans="2:6" ht="12.75">
      <c r="B192" s="4" t="s">
        <v>883</v>
      </c>
      <c r="C192" s="4" t="s">
        <v>589</v>
      </c>
      <c r="D192" s="4" t="s">
        <v>906</v>
      </c>
      <c r="E192" s="4" t="s">
        <v>912</v>
      </c>
      <c r="F192" s="42"/>
    </row>
    <row r="193" spans="1:6" ht="12.75">
      <c r="A193" s="32">
        <v>39712</v>
      </c>
      <c r="B193" s="30" t="s">
        <v>880</v>
      </c>
      <c r="C193" s="30" t="s">
        <v>593</v>
      </c>
      <c r="D193" s="30" t="s">
        <v>833</v>
      </c>
      <c r="E193" s="1"/>
      <c r="F193" s="29"/>
    </row>
    <row r="194" spans="2:6" ht="12.75">
      <c r="B194" s="31" t="s">
        <v>881</v>
      </c>
      <c r="C194" s="31" t="s">
        <v>706</v>
      </c>
      <c r="D194" s="31" t="s">
        <v>707</v>
      </c>
      <c r="E194" s="4" t="s">
        <v>911</v>
      </c>
      <c r="F194" s="42"/>
    </row>
    <row r="195" spans="2:6" ht="12.75">
      <c r="B195" s="4" t="s">
        <v>882</v>
      </c>
      <c r="C195" s="4" t="s">
        <v>589</v>
      </c>
      <c r="D195" s="4" t="s">
        <v>906</v>
      </c>
      <c r="E195" s="4" t="s">
        <v>912</v>
      </c>
      <c r="F195" s="42"/>
    </row>
    <row r="196" spans="2:6" ht="12.75">
      <c r="B196" s="4" t="s">
        <v>883</v>
      </c>
      <c r="C196" s="4" t="s">
        <v>725</v>
      </c>
      <c r="D196" s="4" t="s">
        <v>726</v>
      </c>
      <c r="E196" s="4" t="s">
        <v>913</v>
      </c>
      <c r="F196" s="42"/>
    </row>
    <row r="197" spans="1:6" ht="12.75">
      <c r="A197" s="32">
        <v>40089</v>
      </c>
      <c r="B197" s="30" t="s">
        <v>880</v>
      </c>
      <c r="C197" s="30" t="s">
        <v>593</v>
      </c>
      <c r="D197" s="30" t="s">
        <v>833</v>
      </c>
      <c r="E197" s="1"/>
      <c r="F197" s="29"/>
    </row>
    <row r="198" spans="2:6" ht="12.75">
      <c r="B198" s="31" t="s">
        <v>881</v>
      </c>
      <c r="C198" s="31" t="s">
        <v>599</v>
      </c>
      <c r="D198" s="31" t="s">
        <v>898</v>
      </c>
      <c r="E198" s="4" t="s">
        <v>908</v>
      </c>
      <c r="F198" s="42"/>
    </row>
    <row r="199" spans="2:6" ht="12.75">
      <c r="B199" s="4" t="s">
        <v>882</v>
      </c>
      <c r="C199" s="4" t="s">
        <v>706</v>
      </c>
      <c r="D199" s="4" t="s">
        <v>741</v>
      </c>
      <c r="E199" s="1" t="s">
        <v>909</v>
      </c>
      <c r="F199" s="29"/>
    </row>
    <row r="200" spans="2:6" ht="12.75">
      <c r="B200" s="4" t="s">
        <v>883</v>
      </c>
      <c r="C200" s="4" t="s">
        <v>587</v>
      </c>
      <c r="D200" s="4" t="s">
        <v>851</v>
      </c>
      <c r="E200" s="4" t="s">
        <v>910</v>
      </c>
      <c r="F200" s="42"/>
    </row>
    <row r="201" spans="1:4" ht="12.75">
      <c r="A201" s="32"/>
      <c r="B201" s="30" t="s">
        <v>880</v>
      </c>
      <c r="C201" s="30"/>
      <c r="D201" s="30"/>
    </row>
    <row r="202" spans="2:4" ht="12.75">
      <c r="B202" s="31" t="s">
        <v>881</v>
      </c>
      <c r="C202" s="31"/>
      <c r="D202" s="31"/>
    </row>
    <row r="203" spans="2:4" ht="12.75">
      <c r="B203" s="4" t="s">
        <v>882</v>
      </c>
      <c r="C203" s="4"/>
      <c r="D203" s="4"/>
    </row>
    <row r="204" spans="2:4" ht="12.75">
      <c r="B204" s="4" t="s">
        <v>883</v>
      </c>
      <c r="C204" s="4"/>
      <c r="D204" s="4"/>
    </row>
  </sheetData>
  <mergeCells count="5">
    <mergeCell ref="A84:G84"/>
    <mergeCell ref="A2:G3"/>
    <mergeCell ref="A1:G1"/>
    <mergeCell ref="A68:G68"/>
    <mergeCell ref="A69:G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E40">
      <selection activeCell="H52" sqref="H52"/>
    </sheetView>
  </sheetViews>
  <sheetFormatPr defaultColWidth="9.00390625" defaultRowHeight="12.75" outlineLevelRow="1"/>
  <cols>
    <col min="1" max="1" width="5.25390625" style="0" customWidth="1"/>
    <col min="2" max="2" width="28.125" style="0" customWidth="1"/>
    <col min="3" max="3" width="37.375" style="0" customWidth="1"/>
    <col min="4" max="4" width="13.875" style="0" customWidth="1"/>
    <col min="7" max="7" width="4.75390625" style="0" customWidth="1"/>
    <col min="8" max="8" width="29.75390625" style="0" customWidth="1"/>
    <col min="9" max="9" width="34.25390625" style="0" customWidth="1"/>
    <col min="10" max="10" width="13.375" style="0" customWidth="1"/>
    <col min="11" max="11" width="16.75390625" style="0" customWidth="1"/>
    <col min="12" max="12" width="11.125" style="0" customWidth="1"/>
    <col min="13" max="13" width="27.375" style="0" customWidth="1"/>
    <col min="15" max="15" width="14.25390625" style="0" customWidth="1"/>
  </cols>
  <sheetData>
    <row r="1" spans="8:9" ht="12.75">
      <c r="H1" s="81"/>
      <c r="I1" s="81"/>
    </row>
    <row r="2" spans="2:4" ht="12.75">
      <c r="B2" s="1" t="s">
        <v>615</v>
      </c>
      <c r="C2" s="4"/>
      <c r="D2" s="4" t="s">
        <v>20</v>
      </c>
    </row>
    <row r="3" spans="2:10" ht="12.75">
      <c r="B3" s="19"/>
      <c r="C3" s="1"/>
      <c r="D3" s="1"/>
      <c r="G3" s="134" t="s">
        <v>1279</v>
      </c>
      <c r="H3" s="134"/>
      <c r="I3" s="134"/>
      <c r="J3" s="134"/>
    </row>
    <row r="4" spans="2:15" ht="12.75" customHeight="1">
      <c r="B4" s="19"/>
      <c r="C4" s="1"/>
      <c r="D4" s="1"/>
      <c r="G4" s="1" t="s">
        <v>940</v>
      </c>
      <c r="H4" s="1" t="s">
        <v>958</v>
      </c>
      <c r="I4" s="1" t="s">
        <v>578</v>
      </c>
      <c r="J4" s="38" t="s">
        <v>28</v>
      </c>
      <c r="L4" s="138" t="s">
        <v>1085</v>
      </c>
      <c r="M4" s="138"/>
      <c r="N4" s="138"/>
      <c r="O4" s="138"/>
    </row>
    <row r="5" spans="2:15" ht="12.75">
      <c r="B5" s="19"/>
      <c r="C5" s="1"/>
      <c r="D5" s="1"/>
      <c r="G5" s="19">
        <v>1</v>
      </c>
      <c r="H5" s="60" t="s">
        <v>990</v>
      </c>
      <c r="I5" s="60" t="s">
        <v>991</v>
      </c>
      <c r="J5" s="54">
        <v>1.3945717592592592</v>
      </c>
      <c r="L5" s="138"/>
      <c r="M5" s="138"/>
      <c r="N5" s="138"/>
      <c r="O5" s="138"/>
    </row>
    <row r="6" spans="2:15" ht="12.75">
      <c r="B6" s="19"/>
      <c r="C6" s="19"/>
      <c r="D6" s="19"/>
      <c r="G6" s="1">
        <v>2</v>
      </c>
      <c r="H6" s="1" t="s">
        <v>1071</v>
      </c>
      <c r="I6" s="19" t="s">
        <v>1073</v>
      </c>
      <c r="J6" s="28">
        <v>1.4166898148148148</v>
      </c>
      <c r="L6" s="138"/>
      <c r="M6" s="138"/>
      <c r="N6" s="138"/>
      <c r="O6" s="138"/>
    </row>
    <row r="7" spans="2:15" ht="12.75">
      <c r="B7" s="19"/>
      <c r="C7" s="19"/>
      <c r="D7" s="19"/>
      <c r="G7" s="19">
        <v>3</v>
      </c>
      <c r="H7" s="2" t="s">
        <v>978</v>
      </c>
      <c r="I7" s="1" t="s">
        <v>1004</v>
      </c>
      <c r="J7" s="28">
        <v>1.425011574074074</v>
      </c>
      <c r="L7" s="138"/>
      <c r="M7" s="138"/>
      <c r="N7" s="138"/>
      <c r="O7" s="138"/>
    </row>
    <row r="8" spans="2:15" ht="12.75">
      <c r="B8" s="43"/>
      <c r="C8" s="43"/>
      <c r="D8" s="43"/>
      <c r="G8" s="1">
        <v>4</v>
      </c>
      <c r="H8" s="2" t="s">
        <v>985</v>
      </c>
      <c r="I8" s="2" t="s">
        <v>437</v>
      </c>
      <c r="J8" s="28">
        <v>1.4730324074074073</v>
      </c>
      <c r="L8" s="138"/>
      <c r="M8" s="138"/>
      <c r="N8" s="138"/>
      <c r="O8" s="138"/>
    </row>
    <row r="9" spans="2:15" ht="12.75">
      <c r="B9" s="19"/>
      <c r="C9" s="1"/>
      <c r="D9" s="1"/>
      <c r="G9" s="19">
        <v>5</v>
      </c>
      <c r="H9" s="2" t="s">
        <v>1069</v>
      </c>
      <c r="I9" s="1" t="s">
        <v>982</v>
      </c>
      <c r="J9" s="28">
        <v>1.4737384259259259</v>
      </c>
      <c r="L9" s="138"/>
      <c r="M9" s="138"/>
      <c r="N9" s="138"/>
      <c r="O9" s="138"/>
    </row>
    <row r="10" spans="2:15" ht="12.75">
      <c r="B10" s="21"/>
      <c r="C10" s="1"/>
      <c r="D10" s="1"/>
      <c r="G10" s="1">
        <v>6</v>
      </c>
      <c r="H10" s="21" t="s">
        <v>992</v>
      </c>
      <c r="I10" s="21" t="s">
        <v>961</v>
      </c>
      <c r="J10" s="28">
        <v>1.5423726851851853</v>
      </c>
      <c r="L10" s="138"/>
      <c r="M10" s="138"/>
      <c r="N10" s="138"/>
      <c r="O10" s="138"/>
    </row>
    <row r="11" spans="2:15" ht="12.75">
      <c r="B11" s="19"/>
      <c r="C11" s="1"/>
      <c r="D11" s="1"/>
      <c r="G11" s="19">
        <v>7</v>
      </c>
      <c r="H11" s="1" t="s">
        <v>996</v>
      </c>
      <c r="I11" s="1" t="s">
        <v>970</v>
      </c>
      <c r="J11" s="28">
        <v>1.6180671296296296</v>
      </c>
      <c r="L11" s="82"/>
      <c r="M11" s="82"/>
      <c r="N11" s="82"/>
      <c r="O11" s="82"/>
    </row>
    <row r="12" spans="2:15" ht="12.75">
      <c r="B12" s="19"/>
      <c r="C12" s="1"/>
      <c r="D12" s="1"/>
      <c r="G12" s="1">
        <v>8</v>
      </c>
      <c r="H12" s="1" t="s">
        <v>16</v>
      </c>
      <c r="I12" s="19" t="s">
        <v>988</v>
      </c>
      <c r="J12" s="5">
        <v>1.622222222222222</v>
      </c>
      <c r="L12" s="82"/>
      <c r="M12" s="82"/>
      <c r="N12" s="82"/>
      <c r="O12" s="82"/>
    </row>
    <row r="13" spans="2:15" ht="12.75" customHeight="1">
      <c r="B13" s="47"/>
      <c r="C13" s="46"/>
      <c r="D13" s="45"/>
      <c r="G13" s="19">
        <v>9</v>
      </c>
      <c r="H13" s="1" t="s">
        <v>960</v>
      </c>
      <c r="I13" s="1" t="s">
        <v>961</v>
      </c>
      <c r="J13" s="28">
        <v>1.6222453703703703</v>
      </c>
      <c r="L13" s="82"/>
      <c r="M13" s="82"/>
      <c r="N13" s="82"/>
      <c r="O13" s="82"/>
    </row>
    <row r="14" spans="2:15" ht="12.75">
      <c r="B14" s="48"/>
      <c r="C14" s="46"/>
      <c r="D14" s="29"/>
      <c r="G14" s="133" t="s">
        <v>1280</v>
      </c>
      <c r="H14" s="133"/>
      <c r="I14" s="133"/>
      <c r="L14" s="82"/>
      <c r="M14" s="82"/>
      <c r="N14" s="82"/>
      <c r="O14" s="82"/>
    </row>
    <row r="15" spans="2:15" ht="12.75">
      <c r="B15" s="47"/>
      <c r="C15" s="29"/>
      <c r="D15" s="29"/>
      <c r="G15" s="1" t="s">
        <v>940</v>
      </c>
      <c r="H15" s="1" t="s">
        <v>958</v>
      </c>
      <c r="I15" s="1" t="s">
        <v>578</v>
      </c>
      <c r="J15" s="38" t="s">
        <v>28</v>
      </c>
      <c r="L15" s="82"/>
      <c r="M15" s="82"/>
      <c r="N15" s="82"/>
      <c r="O15" s="82"/>
    </row>
    <row r="16" spans="7:15" ht="12.75">
      <c r="G16" s="19">
        <v>1</v>
      </c>
      <c r="H16" s="60" t="s">
        <v>993</v>
      </c>
      <c r="I16" s="60" t="s">
        <v>991</v>
      </c>
      <c r="J16" s="54">
        <v>1.3647106481481481</v>
      </c>
      <c r="L16" s="82"/>
      <c r="M16" s="82"/>
      <c r="N16" s="82"/>
      <c r="O16" s="82"/>
    </row>
    <row r="17" spans="7:10" ht="12.75">
      <c r="G17" s="1">
        <v>2</v>
      </c>
      <c r="H17" s="2" t="s">
        <v>998</v>
      </c>
      <c r="I17" s="1" t="s">
        <v>963</v>
      </c>
      <c r="J17" s="28">
        <v>1.3758449074074075</v>
      </c>
    </row>
    <row r="18" spans="7:10" ht="12.75">
      <c r="G18" s="19">
        <v>3</v>
      </c>
      <c r="H18" s="1" t="s">
        <v>994</v>
      </c>
      <c r="I18" s="1" t="s">
        <v>995</v>
      </c>
      <c r="J18" s="28">
        <v>1.3799884259259259</v>
      </c>
    </row>
    <row r="19" spans="7:10" ht="12.75">
      <c r="G19" s="1">
        <v>4</v>
      </c>
      <c r="H19" s="1" t="s">
        <v>14</v>
      </c>
      <c r="I19" s="19" t="s">
        <v>988</v>
      </c>
      <c r="J19" s="28">
        <v>1.3897569444444444</v>
      </c>
    </row>
    <row r="20" spans="1:10" ht="12.75">
      <c r="A20" s="1" t="s">
        <v>940</v>
      </c>
      <c r="B20" s="1" t="s">
        <v>958</v>
      </c>
      <c r="C20" s="1" t="s">
        <v>578</v>
      </c>
      <c r="D20" s="1"/>
      <c r="G20" s="19">
        <v>5</v>
      </c>
      <c r="H20" s="21" t="s">
        <v>1002</v>
      </c>
      <c r="I20" s="2" t="s">
        <v>999</v>
      </c>
      <c r="J20" s="28">
        <v>1.3952662037037038</v>
      </c>
    </row>
    <row r="21" spans="1:10" ht="12.75">
      <c r="A21" s="1"/>
      <c r="B21" s="19"/>
      <c r="C21" s="19"/>
      <c r="G21" s="1">
        <v>6</v>
      </c>
      <c r="H21" s="2" t="s">
        <v>1000</v>
      </c>
      <c r="I21" s="21" t="s">
        <v>594</v>
      </c>
      <c r="J21" s="28">
        <v>1.424074074074074</v>
      </c>
    </row>
    <row r="22" spans="1:10" ht="12.75">
      <c r="A22" s="1">
        <v>1</v>
      </c>
      <c r="B22" s="2" t="s">
        <v>971</v>
      </c>
      <c r="C22" s="2" t="s">
        <v>972</v>
      </c>
      <c r="G22" s="19">
        <v>7</v>
      </c>
      <c r="H22" s="1" t="s">
        <v>1072</v>
      </c>
      <c r="I22" s="19" t="s">
        <v>1073</v>
      </c>
      <c r="J22" s="28">
        <v>1.4252199074074074</v>
      </c>
    </row>
    <row r="23" spans="1:10" ht="12.75">
      <c r="A23" s="1">
        <v>2</v>
      </c>
      <c r="B23" s="1" t="s">
        <v>994</v>
      </c>
      <c r="C23" s="1" t="s">
        <v>995</v>
      </c>
      <c r="G23" s="1">
        <v>8</v>
      </c>
      <c r="H23" s="2" t="s">
        <v>983</v>
      </c>
      <c r="I23" s="1" t="s">
        <v>984</v>
      </c>
      <c r="J23" s="28">
        <v>1.4320717592592593</v>
      </c>
    </row>
    <row r="24" spans="1:10" ht="12.75">
      <c r="A24" s="1">
        <v>3</v>
      </c>
      <c r="B24" s="2" t="s">
        <v>973</v>
      </c>
      <c r="C24" s="2" t="s">
        <v>975</v>
      </c>
      <c r="G24" s="19">
        <v>9</v>
      </c>
      <c r="H24" s="1" t="s">
        <v>1070</v>
      </c>
      <c r="I24" s="21" t="s">
        <v>961</v>
      </c>
      <c r="J24" s="28">
        <v>1.5729166666666667</v>
      </c>
    </row>
    <row r="25" spans="1:3" ht="12.75">
      <c r="A25" s="1">
        <v>4</v>
      </c>
      <c r="B25" s="2" t="s">
        <v>987</v>
      </c>
      <c r="C25" s="2" t="s">
        <v>986</v>
      </c>
    </row>
    <row r="26" spans="1:9" ht="12.75" customHeight="1">
      <c r="A26" s="1">
        <v>5</v>
      </c>
      <c r="B26" s="2" t="s">
        <v>969</v>
      </c>
      <c r="C26" s="2" t="s">
        <v>970</v>
      </c>
      <c r="G26" s="133" t="s">
        <v>1281</v>
      </c>
      <c r="H26" s="133"/>
      <c r="I26" s="133"/>
    </row>
    <row r="27" spans="1:10" ht="12.75">
      <c r="A27" s="1">
        <v>6</v>
      </c>
      <c r="B27" s="1" t="s">
        <v>996</v>
      </c>
      <c r="C27" s="1" t="s">
        <v>970</v>
      </c>
      <c r="G27" s="1" t="s">
        <v>940</v>
      </c>
      <c r="H27" s="1" t="s">
        <v>958</v>
      </c>
      <c r="I27" s="1" t="s">
        <v>578</v>
      </c>
      <c r="J27" s="38" t="s">
        <v>28</v>
      </c>
    </row>
    <row r="28" spans="1:10" ht="12.75">
      <c r="A28" s="1">
        <v>7</v>
      </c>
      <c r="B28" s="1" t="s">
        <v>960</v>
      </c>
      <c r="C28" s="1" t="s">
        <v>961</v>
      </c>
      <c r="G28" s="19">
        <v>1</v>
      </c>
      <c r="H28" s="38" t="s">
        <v>1001</v>
      </c>
      <c r="I28" s="38" t="s">
        <v>999</v>
      </c>
      <c r="J28" s="54">
        <v>1.249525462962963</v>
      </c>
    </row>
    <row r="29" spans="1:10" ht="12.75">
      <c r="A29" s="1">
        <v>8</v>
      </c>
      <c r="B29" s="2" t="s">
        <v>965</v>
      </c>
      <c r="C29" s="2" t="s">
        <v>961</v>
      </c>
      <c r="G29" s="1">
        <v>2</v>
      </c>
      <c r="H29" s="2" t="s">
        <v>971</v>
      </c>
      <c r="I29" s="2" t="s">
        <v>972</v>
      </c>
      <c r="J29" s="5">
        <v>1.3895949074074074</v>
      </c>
    </row>
    <row r="30" spans="1:10" ht="12.75">
      <c r="A30" s="1">
        <v>9</v>
      </c>
      <c r="B30" s="2" t="s">
        <v>968</v>
      </c>
      <c r="C30" s="2" t="s">
        <v>961</v>
      </c>
      <c r="G30" s="19">
        <v>3</v>
      </c>
      <c r="H30" s="2" t="s">
        <v>973</v>
      </c>
      <c r="I30" s="2" t="s">
        <v>975</v>
      </c>
      <c r="J30" s="5">
        <v>1.4319560185185185</v>
      </c>
    </row>
    <row r="31" spans="1:10" ht="12.75">
      <c r="A31" s="1">
        <v>10</v>
      </c>
      <c r="B31" s="21" t="s">
        <v>992</v>
      </c>
      <c r="C31" s="21" t="s">
        <v>961</v>
      </c>
      <c r="G31" s="1">
        <v>4</v>
      </c>
      <c r="H31" s="2" t="s">
        <v>968</v>
      </c>
      <c r="I31" s="2" t="s">
        <v>961</v>
      </c>
      <c r="J31" s="28">
        <v>1.4355555555555555</v>
      </c>
    </row>
    <row r="32" spans="1:10" ht="12.75">
      <c r="A32" s="1">
        <v>11</v>
      </c>
      <c r="B32" s="1" t="s">
        <v>1070</v>
      </c>
      <c r="C32" s="21" t="s">
        <v>961</v>
      </c>
      <c r="G32" s="19">
        <v>5</v>
      </c>
      <c r="H32" s="2" t="s">
        <v>987</v>
      </c>
      <c r="I32" s="2" t="s">
        <v>986</v>
      </c>
      <c r="J32" s="5">
        <v>1.465972222222222</v>
      </c>
    </row>
    <row r="33" spans="1:10" ht="12.75">
      <c r="A33" s="1">
        <v>12</v>
      </c>
      <c r="B33" s="1" t="s">
        <v>962</v>
      </c>
      <c r="C33" s="1" t="s">
        <v>963</v>
      </c>
      <c r="G33" s="1">
        <v>6</v>
      </c>
      <c r="H33" s="1" t="s">
        <v>964</v>
      </c>
      <c r="I33" s="1" t="s">
        <v>959</v>
      </c>
      <c r="J33" s="5">
        <v>1.597361111111111</v>
      </c>
    </row>
    <row r="34" spans="1:10" ht="12.75">
      <c r="A34" s="1">
        <v>13</v>
      </c>
      <c r="B34" s="19" t="s">
        <v>989</v>
      </c>
      <c r="C34" s="19" t="s">
        <v>963</v>
      </c>
      <c r="G34" s="19">
        <v>7</v>
      </c>
      <c r="H34" s="1" t="s">
        <v>1003</v>
      </c>
      <c r="I34" s="1" t="s">
        <v>991</v>
      </c>
      <c r="J34" s="5">
        <v>1.5980902777777777</v>
      </c>
    </row>
    <row r="35" spans="1:10" ht="12.75">
      <c r="A35" s="1">
        <v>14</v>
      </c>
      <c r="B35" s="2" t="s">
        <v>998</v>
      </c>
      <c r="C35" s="1" t="s">
        <v>963</v>
      </c>
      <c r="G35" s="1">
        <v>8</v>
      </c>
      <c r="H35" s="1" t="s">
        <v>962</v>
      </c>
      <c r="I35" s="1" t="s">
        <v>963</v>
      </c>
      <c r="J35" s="5">
        <v>1.5989004629629628</v>
      </c>
    </row>
    <row r="36" spans="1:10" ht="12.75">
      <c r="A36" s="1">
        <v>15</v>
      </c>
      <c r="B36" s="2" t="s">
        <v>1005</v>
      </c>
      <c r="C36" s="1" t="s">
        <v>974</v>
      </c>
      <c r="G36" s="19">
        <v>9</v>
      </c>
      <c r="H36" s="2" t="s">
        <v>967</v>
      </c>
      <c r="I36" s="2" t="s">
        <v>966</v>
      </c>
      <c r="J36" s="5">
        <v>1.6675347222222223</v>
      </c>
    </row>
    <row r="37" spans="1:9" ht="12.75">
      <c r="A37" s="1">
        <v>16</v>
      </c>
      <c r="B37" s="1" t="s">
        <v>17</v>
      </c>
      <c r="C37" s="1" t="s">
        <v>18</v>
      </c>
      <c r="G37" s="133" t="s">
        <v>1282</v>
      </c>
      <c r="H37" s="133"/>
      <c r="I37" s="133"/>
    </row>
    <row r="38" spans="1:10" ht="12.75">
      <c r="A38" s="1">
        <v>17</v>
      </c>
      <c r="B38" s="2" t="s">
        <v>967</v>
      </c>
      <c r="C38" s="2" t="s">
        <v>966</v>
      </c>
      <c r="G38" s="1" t="s">
        <v>940</v>
      </c>
      <c r="H38" s="1" t="s">
        <v>958</v>
      </c>
      <c r="I38" s="1" t="s">
        <v>578</v>
      </c>
      <c r="J38" s="38" t="s">
        <v>28</v>
      </c>
    </row>
    <row r="39" spans="1:10" ht="12.75">
      <c r="A39" s="1">
        <v>18</v>
      </c>
      <c r="B39" s="1" t="s">
        <v>964</v>
      </c>
      <c r="C39" s="1" t="s">
        <v>959</v>
      </c>
      <c r="G39" s="19">
        <v>1</v>
      </c>
      <c r="H39" s="60" t="s">
        <v>989</v>
      </c>
      <c r="I39" s="60" t="s">
        <v>963</v>
      </c>
      <c r="J39" s="54">
        <v>1.2459490740740742</v>
      </c>
    </row>
    <row r="40" spans="1:10" ht="12.75">
      <c r="A40" s="1">
        <v>19</v>
      </c>
      <c r="B40" s="2" t="s">
        <v>977</v>
      </c>
      <c r="C40" s="1" t="s">
        <v>976</v>
      </c>
      <c r="G40" s="1">
        <v>2</v>
      </c>
      <c r="H40" s="2" t="s">
        <v>997</v>
      </c>
      <c r="I40" s="2" t="s">
        <v>999</v>
      </c>
      <c r="J40" s="5">
        <v>1.391099537037037</v>
      </c>
    </row>
    <row r="41" spans="1:10" ht="12.75">
      <c r="A41" s="1">
        <v>20</v>
      </c>
      <c r="B41" s="2" t="s">
        <v>978</v>
      </c>
      <c r="C41" s="1" t="s">
        <v>1004</v>
      </c>
      <c r="G41" s="19">
        <v>3</v>
      </c>
      <c r="H41" s="2" t="s">
        <v>969</v>
      </c>
      <c r="I41" s="2" t="s">
        <v>970</v>
      </c>
      <c r="J41" s="28">
        <v>1.4300694444444444</v>
      </c>
    </row>
    <row r="42" spans="1:10" ht="12.75">
      <c r="A42" s="1">
        <v>21</v>
      </c>
      <c r="B42" s="19" t="s">
        <v>990</v>
      </c>
      <c r="C42" s="19" t="s">
        <v>991</v>
      </c>
      <c r="G42" s="1">
        <v>4</v>
      </c>
      <c r="H42" s="1" t="s">
        <v>17</v>
      </c>
      <c r="I42" s="1" t="s">
        <v>18</v>
      </c>
      <c r="J42" s="5">
        <v>1.434849537037037</v>
      </c>
    </row>
    <row r="43" spans="1:10" ht="12.75">
      <c r="A43" s="1">
        <v>22</v>
      </c>
      <c r="B43" s="1" t="s">
        <v>993</v>
      </c>
      <c r="C43" s="1" t="s">
        <v>991</v>
      </c>
      <c r="G43" s="19">
        <v>5</v>
      </c>
      <c r="H43" s="2" t="s">
        <v>965</v>
      </c>
      <c r="I43" s="2" t="s">
        <v>961</v>
      </c>
      <c r="J43" s="5">
        <v>1.4583449074074073</v>
      </c>
    </row>
    <row r="44" spans="1:10" ht="12.75">
      <c r="A44" s="1">
        <v>23</v>
      </c>
      <c r="B44" s="1" t="s">
        <v>1003</v>
      </c>
      <c r="C44" s="1" t="s">
        <v>991</v>
      </c>
      <c r="G44" s="1">
        <v>6</v>
      </c>
      <c r="H44" s="2" t="s">
        <v>1005</v>
      </c>
      <c r="I44" s="1" t="s">
        <v>974</v>
      </c>
      <c r="J44" s="5">
        <v>1.473726851851852</v>
      </c>
    </row>
    <row r="45" spans="1:10" ht="12.75">
      <c r="A45" s="1">
        <v>24</v>
      </c>
      <c r="B45" s="1" t="s">
        <v>13</v>
      </c>
      <c r="C45" s="1" t="s">
        <v>991</v>
      </c>
      <c r="G45" s="19">
        <v>7</v>
      </c>
      <c r="H45" s="1" t="s">
        <v>15</v>
      </c>
      <c r="I45" s="19" t="s">
        <v>988</v>
      </c>
      <c r="J45" s="28">
        <v>1.5390162037037038</v>
      </c>
    </row>
    <row r="46" spans="1:10" ht="12.75">
      <c r="A46" s="1">
        <v>25</v>
      </c>
      <c r="B46" s="1" t="s">
        <v>1071</v>
      </c>
      <c r="C46" s="19" t="s">
        <v>1073</v>
      </c>
      <c r="G46" s="1">
        <v>8</v>
      </c>
      <c r="H46" s="1" t="s">
        <v>13</v>
      </c>
      <c r="I46" s="1" t="s">
        <v>991</v>
      </c>
      <c r="J46" s="5">
        <v>1.5569560185185185</v>
      </c>
    </row>
    <row r="47" spans="1:10" ht="12.75">
      <c r="A47" s="1">
        <v>26</v>
      </c>
      <c r="B47" s="1" t="s">
        <v>1072</v>
      </c>
      <c r="C47" s="19" t="s">
        <v>1073</v>
      </c>
      <c r="G47" s="19">
        <v>9</v>
      </c>
      <c r="H47" s="2" t="s">
        <v>977</v>
      </c>
      <c r="I47" s="1" t="s">
        <v>976</v>
      </c>
      <c r="J47" s="5">
        <v>1.5694560185185187</v>
      </c>
    </row>
    <row r="48" spans="1:9" ht="12.75">
      <c r="A48" s="1">
        <v>27</v>
      </c>
      <c r="B48" s="2" t="s">
        <v>1000</v>
      </c>
      <c r="C48" s="21" t="s">
        <v>594</v>
      </c>
      <c r="G48" s="133"/>
      <c r="H48" s="133"/>
      <c r="I48" s="133"/>
    </row>
    <row r="49" spans="1:8" ht="12.75">
      <c r="A49" s="1">
        <v>28</v>
      </c>
      <c r="B49" s="2" t="s">
        <v>985</v>
      </c>
      <c r="C49" s="2" t="s">
        <v>437</v>
      </c>
      <c r="H49" s="49" t="s">
        <v>1074</v>
      </c>
    </row>
    <row r="50" spans="1:10" ht="12.75">
      <c r="A50" s="1">
        <v>29</v>
      </c>
      <c r="B50" s="2" t="s">
        <v>1069</v>
      </c>
      <c r="C50" s="1" t="s">
        <v>982</v>
      </c>
      <c r="G50" s="1" t="s">
        <v>940</v>
      </c>
      <c r="H50" s="1" t="s">
        <v>958</v>
      </c>
      <c r="I50" s="1" t="s">
        <v>578</v>
      </c>
      <c r="J50" s="38" t="s">
        <v>28</v>
      </c>
    </row>
    <row r="51" spans="1:11" ht="12.75">
      <c r="A51" s="1">
        <v>30</v>
      </c>
      <c r="B51" s="2" t="s">
        <v>983</v>
      </c>
      <c r="C51" s="1" t="s">
        <v>984</v>
      </c>
      <c r="G51" s="19">
        <v>1</v>
      </c>
      <c r="H51" s="60" t="s">
        <v>989</v>
      </c>
      <c r="I51" s="60" t="s">
        <v>963</v>
      </c>
      <c r="J51" s="54">
        <v>1.2459490740740742</v>
      </c>
      <c r="K51" t="s">
        <v>1284</v>
      </c>
    </row>
    <row r="52" spans="1:11" ht="12.75">
      <c r="A52" s="1">
        <v>31</v>
      </c>
      <c r="B52" s="1" t="s">
        <v>14</v>
      </c>
      <c r="C52" s="19" t="s">
        <v>988</v>
      </c>
      <c r="G52" s="1">
        <v>2</v>
      </c>
      <c r="H52" s="38" t="s">
        <v>1001</v>
      </c>
      <c r="I52" s="38" t="s">
        <v>999</v>
      </c>
      <c r="J52" s="54">
        <v>1.249525462962963</v>
      </c>
      <c r="K52" t="s">
        <v>1285</v>
      </c>
    </row>
    <row r="53" spans="1:11" ht="12.75">
      <c r="A53" s="1">
        <v>32</v>
      </c>
      <c r="B53" s="1" t="s">
        <v>15</v>
      </c>
      <c r="C53" s="19" t="s">
        <v>988</v>
      </c>
      <c r="G53" s="19">
        <v>3</v>
      </c>
      <c r="H53" s="60" t="s">
        <v>993</v>
      </c>
      <c r="I53" s="60" t="s">
        <v>991</v>
      </c>
      <c r="J53" s="54">
        <v>1.3647106481481481</v>
      </c>
      <c r="K53" t="s">
        <v>1285</v>
      </c>
    </row>
    <row r="54" spans="1:11" ht="12.75">
      <c r="A54" s="1">
        <v>33</v>
      </c>
      <c r="B54" s="1" t="s">
        <v>16</v>
      </c>
      <c r="C54" s="19" t="s">
        <v>988</v>
      </c>
      <c r="G54" s="1">
        <v>4</v>
      </c>
      <c r="H54" s="88" t="s">
        <v>998</v>
      </c>
      <c r="I54" s="84" t="s">
        <v>963</v>
      </c>
      <c r="J54" s="85">
        <v>1.3758449074074075</v>
      </c>
      <c r="K54" t="s">
        <v>1285</v>
      </c>
    </row>
    <row r="55" spans="1:11" ht="12.75">
      <c r="A55" s="1">
        <v>34</v>
      </c>
      <c r="B55" s="21" t="s">
        <v>1002</v>
      </c>
      <c r="C55" s="2" t="s">
        <v>999</v>
      </c>
      <c r="G55" s="19">
        <v>5</v>
      </c>
      <c r="H55" s="84" t="s">
        <v>994</v>
      </c>
      <c r="I55" s="84" t="s">
        <v>995</v>
      </c>
      <c r="J55" s="85">
        <v>1.3799884259259259</v>
      </c>
      <c r="K55" t="s">
        <v>1285</v>
      </c>
    </row>
    <row r="56" spans="1:11" ht="12.75">
      <c r="A56" s="1">
        <v>35</v>
      </c>
      <c r="B56" s="2" t="s">
        <v>997</v>
      </c>
      <c r="C56" s="2" t="s">
        <v>999</v>
      </c>
      <c r="G56" s="1">
        <v>6</v>
      </c>
      <c r="H56" s="88" t="s">
        <v>971</v>
      </c>
      <c r="I56" s="88" t="s">
        <v>972</v>
      </c>
      <c r="J56" s="85">
        <v>1.3895949074074074</v>
      </c>
      <c r="K56" t="s">
        <v>1286</v>
      </c>
    </row>
    <row r="57" spans="1:10" ht="12.75">
      <c r="A57" s="1">
        <v>36</v>
      </c>
      <c r="B57" s="2" t="s">
        <v>1001</v>
      </c>
      <c r="C57" s="2" t="s">
        <v>999</v>
      </c>
      <c r="G57" s="19">
        <v>7</v>
      </c>
      <c r="H57" s="1" t="s">
        <v>14</v>
      </c>
      <c r="I57" s="19" t="s">
        <v>988</v>
      </c>
      <c r="J57" s="28">
        <v>1.3897569444444444</v>
      </c>
    </row>
    <row r="58" spans="1:10" ht="12.75">
      <c r="A58" s="1"/>
      <c r="B58" s="1"/>
      <c r="C58" s="19"/>
      <c r="G58" s="1">
        <v>8</v>
      </c>
      <c r="H58" s="2" t="s">
        <v>997</v>
      </c>
      <c r="I58" s="2" t="s">
        <v>999</v>
      </c>
      <c r="J58" s="5">
        <v>1.391099537037037</v>
      </c>
    </row>
    <row r="59" spans="1:11" ht="12.75">
      <c r="A59" s="1"/>
      <c r="B59" s="21"/>
      <c r="C59" s="2"/>
      <c r="G59" s="19">
        <v>9</v>
      </c>
      <c r="H59" s="60" t="s">
        <v>990</v>
      </c>
      <c r="I59" s="60" t="s">
        <v>991</v>
      </c>
      <c r="J59" s="54">
        <v>1.3945717592592592</v>
      </c>
      <c r="K59" t="s">
        <v>1286</v>
      </c>
    </row>
    <row r="60" spans="1:10" ht="12.75">
      <c r="A60" s="1"/>
      <c r="B60" s="2"/>
      <c r="C60" s="2"/>
      <c r="G60" s="1">
        <v>10</v>
      </c>
      <c r="H60" s="21" t="s">
        <v>1002</v>
      </c>
      <c r="I60" s="2" t="s">
        <v>999</v>
      </c>
      <c r="J60" s="28">
        <v>1.3952662037037038</v>
      </c>
    </row>
    <row r="61" spans="1:10" ht="12.75">
      <c r="A61" s="1"/>
      <c r="B61" s="2"/>
      <c r="C61" s="2"/>
      <c r="G61" s="19">
        <v>11</v>
      </c>
      <c r="H61" s="1" t="s">
        <v>1071</v>
      </c>
      <c r="I61" s="19" t="s">
        <v>1073</v>
      </c>
      <c r="J61" s="28">
        <v>1.4166898148148148</v>
      </c>
    </row>
    <row r="62" spans="1:10" ht="12.75">
      <c r="A62" s="1"/>
      <c r="B62" s="1"/>
      <c r="C62" s="19"/>
      <c r="G62" s="1">
        <v>12</v>
      </c>
      <c r="H62" s="2" t="s">
        <v>1000</v>
      </c>
      <c r="I62" s="21" t="s">
        <v>594</v>
      </c>
      <c r="J62" s="28">
        <v>1.424074074074074</v>
      </c>
    </row>
    <row r="63" spans="1:10" ht="12.75">
      <c r="A63" s="1"/>
      <c r="B63" s="1"/>
      <c r="C63" s="19"/>
      <c r="G63" s="19">
        <v>13</v>
      </c>
      <c r="H63" s="2" t="s">
        <v>978</v>
      </c>
      <c r="I63" s="1" t="s">
        <v>1004</v>
      </c>
      <c r="J63" s="28">
        <v>1.425011574074074</v>
      </c>
    </row>
    <row r="64" spans="1:10" ht="12.75">
      <c r="A64" s="1"/>
      <c r="B64" s="1"/>
      <c r="C64" s="19"/>
      <c r="G64" s="1">
        <v>14</v>
      </c>
      <c r="H64" s="1" t="s">
        <v>1072</v>
      </c>
      <c r="I64" s="19" t="s">
        <v>1073</v>
      </c>
      <c r="J64" s="28">
        <v>1.4252199074074074</v>
      </c>
    </row>
    <row r="65" spans="1:10" ht="12.75">
      <c r="A65" s="1"/>
      <c r="B65" s="1"/>
      <c r="C65" s="19"/>
      <c r="G65" s="19">
        <v>15</v>
      </c>
      <c r="H65" s="2" t="s">
        <v>969</v>
      </c>
      <c r="I65" s="2" t="s">
        <v>970</v>
      </c>
      <c r="J65" s="28">
        <v>1.4300694444444444</v>
      </c>
    </row>
    <row r="66" spans="1:10" ht="12.75">
      <c r="A66" s="1"/>
      <c r="B66" s="2"/>
      <c r="C66" s="2"/>
      <c r="G66" s="1">
        <v>16</v>
      </c>
      <c r="H66" s="2" t="s">
        <v>973</v>
      </c>
      <c r="I66" s="2" t="s">
        <v>975</v>
      </c>
      <c r="J66" s="5">
        <v>1.4319560185185185</v>
      </c>
    </row>
    <row r="67" spans="1:10" ht="12.75">
      <c r="A67" s="1"/>
      <c r="B67" s="2"/>
      <c r="C67" s="1"/>
      <c r="G67" s="19">
        <v>17</v>
      </c>
      <c r="H67" s="2" t="s">
        <v>983</v>
      </c>
      <c r="I67" s="1" t="s">
        <v>984</v>
      </c>
      <c r="J67" s="28">
        <v>1.4320717592592593</v>
      </c>
    </row>
    <row r="68" spans="1:10" ht="12.75">
      <c r="A68" s="1"/>
      <c r="B68" s="2"/>
      <c r="C68" s="21"/>
      <c r="G68" s="1">
        <v>18</v>
      </c>
      <c r="H68" s="1" t="s">
        <v>17</v>
      </c>
      <c r="I68" s="1" t="s">
        <v>18</v>
      </c>
      <c r="J68" s="5">
        <v>1.434849537037037</v>
      </c>
    </row>
    <row r="69" spans="1:10" ht="12.75">
      <c r="A69" s="1"/>
      <c r="B69" s="2"/>
      <c r="C69" s="2"/>
      <c r="G69" s="19">
        <v>19</v>
      </c>
      <c r="H69" s="2" t="s">
        <v>968</v>
      </c>
      <c r="I69" s="2" t="s">
        <v>961</v>
      </c>
      <c r="J69" s="28">
        <v>1.4355555555555555</v>
      </c>
    </row>
    <row r="70" spans="1:10" ht="12.75">
      <c r="A70" s="1"/>
      <c r="B70" s="2"/>
      <c r="C70" s="2"/>
      <c r="G70" s="1">
        <v>20</v>
      </c>
      <c r="H70" s="2" t="s">
        <v>965</v>
      </c>
      <c r="I70" s="2" t="s">
        <v>961</v>
      </c>
      <c r="J70" s="5">
        <v>1.4583449074074073</v>
      </c>
    </row>
    <row r="71" spans="7:10" ht="12.75">
      <c r="G71" s="19">
        <v>21</v>
      </c>
      <c r="H71" s="2" t="s">
        <v>987</v>
      </c>
      <c r="I71" s="2" t="s">
        <v>986</v>
      </c>
      <c r="J71" s="5">
        <v>1.465972222222222</v>
      </c>
    </row>
    <row r="72" spans="1:12" ht="12.75">
      <c r="A72" s="1" t="s">
        <v>940</v>
      </c>
      <c r="B72" s="1"/>
      <c r="C72" s="1"/>
      <c r="G72" s="1">
        <v>22</v>
      </c>
      <c r="H72" s="2" t="s">
        <v>985</v>
      </c>
      <c r="I72" s="2" t="s">
        <v>437</v>
      </c>
      <c r="J72" s="28">
        <v>1.4730324074074073</v>
      </c>
      <c r="L72" s="72"/>
    </row>
    <row r="73" spans="1:12" ht="12.75">
      <c r="A73" s="1"/>
      <c r="B73" s="19"/>
      <c r="C73" s="19"/>
      <c r="G73" s="19">
        <v>23</v>
      </c>
      <c r="H73" s="2" t="s">
        <v>1005</v>
      </c>
      <c r="I73" s="1" t="s">
        <v>974</v>
      </c>
      <c r="J73" s="5">
        <v>1.473726851851852</v>
      </c>
      <c r="L73" s="72"/>
    </row>
    <row r="74" spans="1:12" ht="12.75">
      <c r="A74" s="1">
        <v>1</v>
      </c>
      <c r="B74" s="2"/>
      <c r="C74" s="2"/>
      <c r="G74" s="1">
        <v>24</v>
      </c>
      <c r="H74" s="2" t="s">
        <v>1069</v>
      </c>
      <c r="I74" s="1" t="s">
        <v>982</v>
      </c>
      <c r="J74" s="28">
        <v>1.4737384259259259</v>
      </c>
      <c r="L74" s="72"/>
    </row>
    <row r="75" spans="1:12" ht="12.75">
      <c r="A75" s="1">
        <v>2</v>
      </c>
      <c r="B75" s="1"/>
      <c r="C75" s="1"/>
      <c r="G75" s="19">
        <v>25</v>
      </c>
      <c r="H75" s="1" t="s">
        <v>15</v>
      </c>
      <c r="I75" s="19" t="s">
        <v>988</v>
      </c>
      <c r="J75" s="28">
        <v>1.5390162037037038</v>
      </c>
      <c r="L75" s="72"/>
    </row>
    <row r="76" spans="1:12" ht="12.75">
      <c r="A76" s="1">
        <v>3</v>
      </c>
      <c r="B76" s="2"/>
      <c r="C76" s="2"/>
      <c r="G76" s="1">
        <v>26</v>
      </c>
      <c r="H76" s="21" t="s">
        <v>992</v>
      </c>
      <c r="I76" s="21" t="s">
        <v>961</v>
      </c>
      <c r="J76" s="28">
        <v>1.5423726851851853</v>
      </c>
      <c r="L76" s="72"/>
    </row>
    <row r="77" spans="1:12" ht="12.75">
      <c r="A77" s="1">
        <v>4</v>
      </c>
      <c r="B77" s="2"/>
      <c r="C77" s="2"/>
      <c r="G77" s="19">
        <v>27</v>
      </c>
      <c r="H77" s="1" t="s">
        <v>13</v>
      </c>
      <c r="I77" s="1" t="s">
        <v>991</v>
      </c>
      <c r="J77" s="5">
        <v>1.5569560185185185</v>
      </c>
      <c r="L77" s="72"/>
    </row>
    <row r="78" spans="1:12" ht="12.75">
      <c r="A78" s="1">
        <v>5</v>
      </c>
      <c r="B78" s="2"/>
      <c r="C78" s="2"/>
      <c r="G78" s="1">
        <v>28</v>
      </c>
      <c r="H78" s="2" t="s">
        <v>977</v>
      </c>
      <c r="I78" s="1" t="s">
        <v>976</v>
      </c>
      <c r="J78" s="5">
        <v>1.5694560185185187</v>
      </c>
      <c r="L78" s="72"/>
    </row>
    <row r="79" spans="1:12" ht="12.75">
      <c r="A79" s="1">
        <v>6</v>
      </c>
      <c r="B79" s="1"/>
      <c r="C79" s="1"/>
      <c r="G79" s="19">
        <v>29</v>
      </c>
      <c r="H79" s="1" t="s">
        <v>1070</v>
      </c>
      <c r="I79" s="21" t="s">
        <v>961</v>
      </c>
      <c r="J79" s="28">
        <v>1.5729166666666667</v>
      </c>
      <c r="L79" s="72"/>
    </row>
    <row r="80" spans="1:12" ht="12.75">
      <c r="A80" s="1">
        <v>7</v>
      </c>
      <c r="B80" s="1"/>
      <c r="C80" s="1"/>
      <c r="G80" s="1">
        <v>30</v>
      </c>
      <c r="H80" s="1" t="s">
        <v>964</v>
      </c>
      <c r="I80" s="1" t="s">
        <v>959</v>
      </c>
      <c r="J80" s="5">
        <v>1.597361111111111</v>
      </c>
      <c r="L80" s="72"/>
    </row>
    <row r="81" spans="1:12" ht="12.75">
      <c r="A81" s="1">
        <v>8</v>
      </c>
      <c r="B81" s="2"/>
      <c r="C81" s="2"/>
      <c r="G81" s="19">
        <v>31</v>
      </c>
      <c r="H81" s="1" t="s">
        <v>1003</v>
      </c>
      <c r="I81" s="1" t="s">
        <v>991</v>
      </c>
      <c r="J81" s="5">
        <v>1.5980902777777777</v>
      </c>
      <c r="L81" s="72"/>
    </row>
    <row r="82" spans="1:12" ht="12.75">
      <c r="A82" s="1">
        <v>9</v>
      </c>
      <c r="B82" s="2"/>
      <c r="C82" s="2"/>
      <c r="G82" s="1">
        <v>32</v>
      </c>
      <c r="H82" s="1" t="s">
        <v>962</v>
      </c>
      <c r="I82" s="1" t="s">
        <v>963</v>
      </c>
      <c r="J82" s="5">
        <v>1.5989004629629628</v>
      </c>
      <c r="L82" s="72"/>
    </row>
    <row r="83" spans="1:12" ht="12.75">
      <c r="A83" s="1">
        <v>10</v>
      </c>
      <c r="B83" s="21"/>
      <c r="C83" s="21"/>
      <c r="G83" s="19">
        <v>33</v>
      </c>
      <c r="H83" s="1" t="s">
        <v>996</v>
      </c>
      <c r="I83" s="1" t="s">
        <v>970</v>
      </c>
      <c r="J83" s="28">
        <v>1.6180671296296296</v>
      </c>
      <c r="L83" s="72"/>
    </row>
    <row r="84" spans="1:12" ht="12.75">
      <c r="A84" s="1">
        <v>11</v>
      </c>
      <c r="B84" s="1"/>
      <c r="C84" s="1"/>
      <c r="G84" s="1">
        <v>34</v>
      </c>
      <c r="H84" s="1" t="s">
        <v>16</v>
      </c>
      <c r="I84" s="19" t="s">
        <v>988</v>
      </c>
      <c r="J84" s="5">
        <v>1.622222222222222</v>
      </c>
      <c r="L84" s="72"/>
    </row>
    <row r="85" spans="1:12" ht="12.75">
      <c r="A85" s="1">
        <v>12</v>
      </c>
      <c r="B85" s="19"/>
      <c r="C85" s="19"/>
      <c r="G85" s="19">
        <v>35</v>
      </c>
      <c r="H85" s="1" t="s">
        <v>960</v>
      </c>
      <c r="I85" s="1" t="s">
        <v>961</v>
      </c>
      <c r="J85" s="28">
        <v>1.6222453703703703</v>
      </c>
      <c r="L85" s="72"/>
    </row>
    <row r="86" spans="1:12" ht="12.75">
      <c r="A86" s="1">
        <v>13</v>
      </c>
      <c r="B86" s="2"/>
      <c r="C86" s="1"/>
      <c r="G86" s="1">
        <v>36</v>
      </c>
      <c r="H86" s="2" t="s">
        <v>967</v>
      </c>
      <c r="I86" s="2" t="s">
        <v>966</v>
      </c>
      <c r="J86" s="5">
        <v>1.6675347222222223</v>
      </c>
      <c r="L86" s="72"/>
    </row>
    <row r="87" spans="1:12" ht="12.75">
      <c r="A87" s="1">
        <v>14</v>
      </c>
      <c r="B87" s="1"/>
      <c r="C87" s="1"/>
      <c r="L87" s="72"/>
    </row>
    <row r="88" spans="1:12" ht="12.75">
      <c r="A88" s="1">
        <v>15</v>
      </c>
      <c r="B88" s="2"/>
      <c r="C88" s="2"/>
      <c r="L88" s="72"/>
    </row>
    <row r="89" spans="1:12" ht="12.75">
      <c r="A89" s="1">
        <v>16</v>
      </c>
      <c r="B89" s="1"/>
      <c r="C89" s="1"/>
      <c r="L89" s="72"/>
    </row>
    <row r="90" spans="1:12" ht="12.75">
      <c r="A90" s="1">
        <v>17</v>
      </c>
      <c r="B90" s="1"/>
      <c r="C90" s="1"/>
      <c r="L90" s="72"/>
    </row>
    <row r="91" spans="1:12" ht="12.75">
      <c r="A91" s="1">
        <v>18</v>
      </c>
      <c r="B91" s="2"/>
      <c r="C91" s="1"/>
      <c r="L91" s="72"/>
    </row>
    <row r="92" spans="1:12" ht="12.75">
      <c r="A92" s="1">
        <v>19</v>
      </c>
      <c r="B92" s="1"/>
      <c r="C92" s="44"/>
      <c r="L92" s="72"/>
    </row>
    <row r="93" spans="1:12" ht="12.75">
      <c r="A93" s="1">
        <v>20</v>
      </c>
      <c r="B93" s="2"/>
      <c r="C93" s="1"/>
      <c r="L93" s="72"/>
    </row>
    <row r="94" spans="1:12" ht="12.75">
      <c r="A94" s="1">
        <v>21</v>
      </c>
      <c r="B94" s="19"/>
      <c r="C94" s="19"/>
      <c r="L94" s="72"/>
    </row>
    <row r="95" spans="1:12" ht="12.75">
      <c r="A95" s="1">
        <v>22</v>
      </c>
      <c r="B95" s="1"/>
      <c r="C95" s="1"/>
      <c r="L95" s="72"/>
    </row>
    <row r="96" spans="1:12" ht="12.75">
      <c r="A96" s="1">
        <v>23</v>
      </c>
      <c r="B96" s="1"/>
      <c r="C96" s="1"/>
      <c r="L96" s="72"/>
    </row>
    <row r="97" spans="1:12" ht="12.75">
      <c r="A97" s="1">
        <v>24</v>
      </c>
      <c r="B97" s="1"/>
      <c r="C97" s="1"/>
      <c r="L97" s="72"/>
    </row>
    <row r="98" spans="1:12" ht="12.75">
      <c r="A98" s="1">
        <v>25</v>
      </c>
      <c r="B98" s="2"/>
      <c r="C98" s="1"/>
      <c r="L98" s="72"/>
    </row>
    <row r="99" spans="1:12" ht="12.75">
      <c r="A99" s="1">
        <v>26</v>
      </c>
      <c r="B99" s="21"/>
      <c r="C99" s="2"/>
      <c r="L99" s="72"/>
    </row>
    <row r="100" spans="1:12" ht="12.75">
      <c r="A100" s="1">
        <v>27</v>
      </c>
      <c r="B100" s="2"/>
      <c r="C100" s="1"/>
      <c r="L100" s="72"/>
    </row>
    <row r="101" spans="1:12" ht="12.75">
      <c r="A101" s="1">
        <v>28</v>
      </c>
      <c r="B101" s="2"/>
      <c r="C101" s="2"/>
      <c r="L101" s="72"/>
    </row>
    <row r="102" spans="1:12" ht="12.75">
      <c r="A102" s="1">
        <v>29</v>
      </c>
      <c r="B102" s="2"/>
      <c r="C102" s="2"/>
      <c r="L102" s="72"/>
    </row>
    <row r="103" spans="1:12" ht="12.75">
      <c r="A103" s="1">
        <v>30</v>
      </c>
      <c r="B103" s="2"/>
      <c r="C103" s="1"/>
      <c r="L103" s="72"/>
    </row>
    <row r="104" spans="1:12" ht="12.75">
      <c r="A104" s="1">
        <v>31</v>
      </c>
      <c r="B104" s="2"/>
      <c r="C104" s="1"/>
      <c r="L104" s="72"/>
    </row>
    <row r="105" spans="1:12" ht="12.75">
      <c r="A105" s="1">
        <v>32</v>
      </c>
      <c r="B105" s="19"/>
      <c r="C105" s="19"/>
      <c r="L105" s="72"/>
    </row>
    <row r="106" spans="1:12" ht="12.75">
      <c r="A106" s="1">
        <v>33</v>
      </c>
      <c r="B106" s="1"/>
      <c r="C106" s="19"/>
      <c r="L106" s="72"/>
    </row>
    <row r="107" spans="1:12" ht="12.75">
      <c r="A107" s="1">
        <v>34</v>
      </c>
      <c r="B107" s="1"/>
      <c r="C107" s="19"/>
      <c r="L107" s="72"/>
    </row>
    <row r="108" spans="1:12" ht="12.75">
      <c r="A108" s="1">
        <v>35</v>
      </c>
      <c r="B108" s="1"/>
      <c r="C108" s="19"/>
      <c r="L108" s="72"/>
    </row>
    <row r="109" spans="1:12" ht="12.75">
      <c r="A109" s="1">
        <v>36</v>
      </c>
      <c r="B109" s="2"/>
      <c r="C109" s="2"/>
      <c r="L109" s="72"/>
    </row>
    <row r="110" spans="1:12" ht="12.75">
      <c r="A110" s="1">
        <v>37</v>
      </c>
      <c r="B110" s="2"/>
      <c r="C110" s="1"/>
      <c r="L110" s="72"/>
    </row>
    <row r="111" spans="1:12" ht="12.75">
      <c r="A111" s="1">
        <v>38</v>
      </c>
      <c r="B111" s="2"/>
      <c r="C111" s="21"/>
      <c r="L111" s="72"/>
    </row>
    <row r="112" spans="1:12" ht="12.75">
      <c r="A112" s="1">
        <v>39</v>
      </c>
      <c r="B112" s="2"/>
      <c r="C112" s="2"/>
      <c r="L112" s="72"/>
    </row>
    <row r="113" spans="1:12" ht="12.75">
      <c r="A113" s="1">
        <v>40</v>
      </c>
      <c r="B113" s="1"/>
      <c r="C113" s="19"/>
      <c r="L113" s="72"/>
    </row>
    <row r="114" ht="12.75">
      <c r="L114" s="72"/>
    </row>
    <row r="115" ht="12.75">
      <c r="L115" s="72"/>
    </row>
    <row r="116" ht="12.75">
      <c r="L116" s="72"/>
    </row>
    <row r="117" ht="12.75">
      <c r="L117" s="72"/>
    </row>
    <row r="118" ht="12.75">
      <c r="L118" s="72"/>
    </row>
    <row r="119" ht="12.75">
      <c r="L119" s="72"/>
    </row>
    <row r="120" ht="12.75">
      <c r="L120" s="72"/>
    </row>
    <row r="121" ht="12.75">
      <c r="L121" s="72"/>
    </row>
    <row r="124" spans="8:9" ht="12.75" hidden="1" outlineLevel="1">
      <c r="H124" s="19"/>
      <c r="I124" s="73"/>
    </row>
    <row r="125" spans="8:9" ht="12.75" hidden="1" outlineLevel="1">
      <c r="H125" s="19"/>
      <c r="I125" s="73"/>
    </row>
    <row r="126" spans="8:9" ht="12.75" hidden="1" outlineLevel="1">
      <c r="H126" s="19"/>
      <c r="I126" s="73"/>
    </row>
    <row r="127" spans="8:9" ht="12.75" hidden="1" outlineLevel="1">
      <c r="H127" s="19"/>
      <c r="I127" s="19"/>
    </row>
    <row r="128" spans="8:9" ht="12.75" hidden="1" outlineLevel="1">
      <c r="H128" s="19"/>
      <c r="I128" s="19"/>
    </row>
    <row r="129" spans="8:9" ht="12.75" hidden="1" outlineLevel="1">
      <c r="H129" s="19"/>
      <c r="I129" s="73"/>
    </row>
    <row r="130" spans="8:9" ht="12.75" hidden="1" outlineLevel="1">
      <c r="H130" s="21"/>
      <c r="I130" s="73"/>
    </row>
    <row r="131" spans="8:9" ht="12.75" hidden="1" outlineLevel="1">
      <c r="H131" s="19"/>
      <c r="I131" s="19"/>
    </row>
    <row r="132" spans="8:9" ht="12.75" hidden="1" outlineLevel="1">
      <c r="H132" s="19"/>
      <c r="I132" s="73"/>
    </row>
    <row r="133" spans="8:9" ht="12.75" hidden="1" outlineLevel="1">
      <c r="H133" s="21"/>
      <c r="I133" s="73"/>
    </row>
    <row r="134" spans="8:9" ht="12.75" hidden="1" outlineLevel="1">
      <c r="H134" s="74"/>
      <c r="I134" s="45"/>
    </row>
    <row r="135" spans="8:9" ht="12.75" hidden="1" outlineLevel="1">
      <c r="H135" s="74"/>
      <c r="I135" s="45"/>
    </row>
    <row r="136" spans="8:9" ht="12.75" hidden="1" outlineLevel="1">
      <c r="H136" s="47"/>
      <c r="I136" s="45"/>
    </row>
    <row r="137" spans="8:9" ht="12.75" hidden="1" outlineLevel="1">
      <c r="H137" s="47"/>
      <c r="I137" s="72"/>
    </row>
    <row r="138" spans="8:9" ht="12.75" hidden="1" outlineLevel="1">
      <c r="H138" s="47"/>
      <c r="I138" s="75"/>
    </row>
    <row r="139" ht="12.75" collapsed="1"/>
  </sheetData>
  <mergeCells count="7">
    <mergeCell ref="G48:I48"/>
    <mergeCell ref="G14:I14"/>
    <mergeCell ref="G3:J3"/>
    <mergeCell ref="L4:O6"/>
    <mergeCell ref="L7:O10"/>
    <mergeCell ref="G26:I26"/>
    <mergeCell ref="G37:I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2"/>
  <sheetViews>
    <sheetView zoomScale="85" zoomScaleNormal="85" workbookViewId="0" topLeftCell="D296">
      <selection activeCell="J310" sqref="J310"/>
    </sheetView>
  </sheetViews>
  <sheetFormatPr defaultColWidth="9.00390625" defaultRowHeight="12.75" outlineLevelRow="1"/>
  <cols>
    <col min="1" max="1" width="3.75390625" style="0" customWidth="1"/>
    <col min="2" max="2" width="29.00390625" style="0" customWidth="1"/>
    <col min="3" max="3" width="34.25390625" style="0" customWidth="1"/>
    <col min="4" max="4" width="29.25390625" style="0" customWidth="1"/>
    <col min="5" max="5" width="26.25390625" style="0" bestFit="1" customWidth="1"/>
    <col min="6" max="6" width="6.625" style="72" customWidth="1"/>
    <col min="7" max="7" width="9.125" style="72" customWidth="1"/>
    <col min="8" max="8" width="52.25390625" style="72" customWidth="1"/>
    <col min="9" max="9" width="10.25390625" style="72" bestFit="1" customWidth="1"/>
    <col min="10" max="11" width="9.125" style="72" customWidth="1"/>
    <col min="12" max="12" width="23.625" style="0" bestFit="1" customWidth="1"/>
  </cols>
  <sheetData>
    <row r="2" spans="1:6" ht="12.75">
      <c r="A2" s="133"/>
      <c r="B2" s="133"/>
      <c r="C2" s="133"/>
      <c r="D2" s="133"/>
      <c r="E2" s="18"/>
      <c r="F2" s="105"/>
    </row>
    <row r="3" spans="1:6" ht="12.75">
      <c r="A3" s="16"/>
      <c r="B3" s="16"/>
      <c r="C3" s="16"/>
      <c r="D3" s="16"/>
      <c r="E3" s="18"/>
      <c r="F3" s="105"/>
    </row>
    <row r="4" spans="1:6" ht="12.75">
      <c r="A4" s="134" t="s">
        <v>1287</v>
      </c>
      <c r="B4" s="134"/>
      <c r="C4" s="134"/>
      <c r="D4" s="134"/>
      <c r="E4" s="18"/>
      <c r="F4" s="105"/>
    </row>
    <row r="5" spans="1:6" ht="12.75">
      <c r="A5" s="1"/>
      <c r="B5" s="60" t="s">
        <v>989</v>
      </c>
      <c r="C5" s="60" t="s">
        <v>963</v>
      </c>
      <c r="D5" s="60" t="s">
        <v>593</v>
      </c>
      <c r="E5" s="18"/>
      <c r="F5" s="105"/>
    </row>
    <row r="6" spans="1:6" ht="12.75">
      <c r="A6" s="1"/>
      <c r="B6" s="19"/>
      <c r="C6" s="19"/>
      <c r="D6" s="1"/>
      <c r="E6" s="18"/>
      <c r="F6" s="105"/>
    </row>
    <row r="7" spans="1:6" ht="12.75">
      <c r="A7" s="1"/>
      <c r="B7" s="19"/>
      <c r="C7" s="19"/>
      <c r="D7" s="1"/>
      <c r="E7" s="18"/>
      <c r="F7" s="105"/>
    </row>
    <row r="8" spans="1:6" ht="12.75">
      <c r="A8" s="1"/>
      <c r="B8" s="19"/>
      <c r="C8" s="19"/>
      <c r="D8" s="1"/>
      <c r="E8" s="18"/>
      <c r="F8" s="105"/>
    </row>
    <row r="9" spans="1:6" ht="12.75">
      <c r="A9" s="1"/>
      <c r="B9" s="19"/>
      <c r="C9" s="19"/>
      <c r="D9" s="19"/>
      <c r="E9" s="18"/>
      <c r="F9" s="105"/>
    </row>
    <row r="10" spans="1:6" ht="12.75">
      <c r="A10" s="29"/>
      <c r="C10" s="61"/>
      <c r="D10" s="29"/>
      <c r="E10" s="18"/>
      <c r="F10" s="105"/>
    </row>
    <row r="11" spans="1:5" ht="27" customHeight="1">
      <c r="A11" s="1"/>
      <c r="B11" s="60"/>
      <c r="C11" s="62" t="s">
        <v>1039</v>
      </c>
      <c r="D11" s="62" t="s">
        <v>610</v>
      </c>
      <c r="E11" s="62" t="s">
        <v>611</v>
      </c>
    </row>
    <row r="12" spans="1:12" ht="61.5" customHeight="1">
      <c r="A12" s="2">
        <v>1</v>
      </c>
      <c r="B12" s="21" t="s">
        <v>593</v>
      </c>
      <c r="C12" s="24" t="str">
        <f>CONCATENATE(G12,", ",H12,", ",I12,", ",J12,)</f>
        <v>Олександр Дробний (1986), Деніс Скадовський (1985), Володимир Зінькович (1986), Савелій Шовкопляс (1986)</v>
      </c>
      <c r="D12" s="103" t="str">
        <f>CONCATENATE(K12,",  ",L12)</f>
        <v>Валерій Морозюк (1986),  Олег Зебра (1983)</v>
      </c>
      <c r="E12" s="4"/>
      <c r="F12" s="106"/>
      <c r="G12" s="72" t="str">
        <f>'Відбір "Україна"'!H52</f>
        <v>Олександр Дробний (1986)</v>
      </c>
      <c r="H12" s="72" t="str">
        <f>'Відбір "Україна"'!H53</f>
        <v>Деніс Скадовський (1985)</v>
      </c>
      <c r="I12" s="72" t="str">
        <f>'Відбір "Україна"'!H54</f>
        <v>Володимир Зінькович (1986)</v>
      </c>
      <c r="J12" s="72" t="str">
        <f>'Відбір "Україна"'!H55</f>
        <v>Савелій Шовкопляс (1986)</v>
      </c>
      <c r="K12" s="72" t="str">
        <f>'Відбір "Україна"'!H56</f>
        <v>Валерій Морозюк (1986)</v>
      </c>
      <c r="L12" t="str">
        <f>'Відбір "Україна"'!H59</f>
        <v>Олег Зебра (1983)</v>
      </c>
    </row>
    <row r="13" spans="1:12" ht="38.25">
      <c r="A13" s="2">
        <v>2</v>
      </c>
      <c r="B13" s="21" t="s">
        <v>601</v>
      </c>
      <c r="C13" s="24" t="str">
        <f>CONCATENATE(G13,", ",H13,", ",I13,", ",J13,)</f>
        <v>Петер Ван Куран (1984), Йохан Кiрлендер (1988), Томаш Заучхельд (1988), Вiльгельм Штопар (1986)</v>
      </c>
      <c r="D13" s="104" t="str">
        <f>K13</f>
        <v>Патрік Ланден (1984)</v>
      </c>
      <c r="E13" s="89" t="str">
        <f>L13</f>
        <v>Едвiн Ван Кастель (1987)</v>
      </c>
      <c r="F13" s="106"/>
      <c r="G13" s="72" t="s">
        <v>1288</v>
      </c>
      <c r="H13" s="72" t="s">
        <v>1289</v>
      </c>
      <c r="I13" s="72" t="s">
        <v>1290</v>
      </c>
      <c r="J13" s="72" t="s">
        <v>1291</v>
      </c>
      <c r="K13" s="72" t="s">
        <v>1292</v>
      </c>
      <c r="L13" t="s">
        <v>1293</v>
      </c>
    </row>
    <row r="14" spans="1:6" ht="51" customHeight="1">
      <c r="A14" s="2">
        <v>3</v>
      </c>
      <c r="B14" s="2" t="s">
        <v>659</v>
      </c>
      <c r="C14" s="24" t="s">
        <v>1294</v>
      </c>
      <c r="D14" s="104" t="s">
        <v>1295</v>
      </c>
      <c r="E14" s="90" t="s">
        <v>1296</v>
      </c>
      <c r="F14" s="106"/>
    </row>
    <row r="15" spans="1:11" ht="25.5">
      <c r="A15" s="2">
        <v>4</v>
      </c>
      <c r="B15" s="2" t="s">
        <v>706</v>
      </c>
      <c r="C15" s="24" t="str">
        <f aca="true" t="shared" si="0" ref="C15:C21">CONCATENATE(G15,", ",H15)</f>
        <v>Едуардо Веласса (1983), Антоніто Хресія (1981)</v>
      </c>
      <c r="D15" s="103" t="str">
        <f>CONCATENATE(J15,", ",I15)</f>
        <v>Роберто Кова (1985), Фернандо Стадеро (1988)</v>
      </c>
      <c r="E15" s="89" t="str">
        <f>K15</f>
        <v>Фернандо Южбара (1987)</v>
      </c>
      <c r="F15" s="106"/>
      <c r="G15" s="72" t="s">
        <v>1297</v>
      </c>
      <c r="H15" s="72" t="s">
        <v>1298</v>
      </c>
      <c r="I15" s="72" t="s">
        <v>1299</v>
      </c>
      <c r="J15" s="72" t="s">
        <v>1300</v>
      </c>
      <c r="K15" s="72" t="s">
        <v>1301</v>
      </c>
    </row>
    <row r="16" spans="1:10" ht="25.5" customHeight="1">
      <c r="A16" s="2">
        <v>5</v>
      </c>
      <c r="B16" s="2" t="s">
        <v>632</v>
      </c>
      <c r="C16" s="24" t="str">
        <f t="shared" si="0"/>
        <v>Т'єрі Гудерма (1986), Патрік Ревуа (1987)</v>
      </c>
      <c r="D16" s="103" t="str">
        <f>CONCATENATE(J16,", ",I16)</f>
        <v>Жан Крено (1988), Жан Боп'є (1987)</v>
      </c>
      <c r="E16" s="66"/>
      <c r="F16" s="106"/>
      <c r="G16" s="72" t="s">
        <v>1302</v>
      </c>
      <c r="H16" s="72" t="s">
        <v>1303</v>
      </c>
      <c r="I16" s="72" t="s">
        <v>1304</v>
      </c>
      <c r="J16" s="72" t="s">
        <v>1305</v>
      </c>
    </row>
    <row r="17" spans="1:10" ht="24.75" customHeight="1">
      <c r="A17" s="2">
        <v>6</v>
      </c>
      <c r="B17" s="2" t="s">
        <v>1016</v>
      </c>
      <c r="C17" s="24" t="str">
        <f t="shared" si="0"/>
        <v>Сініша Сольяковіч (1985), Славолюб Зойковiч (1988)</v>
      </c>
      <c r="D17" s="103" t="str">
        <f aca="true" t="shared" si="1" ref="D17:E19">I17</f>
        <v>Ротiмар Стаiч (1988)</v>
      </c>
      <c r="E17" s="89" t="str">
        <f t="shared" si="1"/>
        <v>Марко Лiанiч (1987)</v>
      </c>
      <c r="F17" s="106"/>
      <c r="G17" s="72" t="s">
        <v>1306</v>
      </c>
      <c r="H17" s="72" t="s">
        <v>1307</v>
      </c>
      <c r="I17" s="72" t="s">
        <v>1308</v>
      </c>
      <c r="J17" s="72" t="s">
        <v>1309</v>
      </c>
    </row>
    <row r="18" spans="1:10" ht="25.5" customHeight="1">
      <c r="A18" s="2">
        <v>7</v>
      </c>
      <c r="B18" s="2" t="s">
        <v>599</v>
      </c>
      <c r="C18" s="24" t="str">
        <f t="shared" si="0"/>
        <v>Олесіо де Маркацоне (1985), Луіджі Фуччі (1985)</v>
      </c>
      <c r="D18" s="103" t="str">
        <f t="shared" si="1"/>
        <v>Дарiо Мангалеттi (1986)</v>
      </c>
      <c r="E18" s="89" t="str">
        <f t="shared" si="1"/>
        <v>Фабiо Лiвардi (1987)</v>
      </c>
      <c r="F18" s="106"/>
      <c r="G18" s="72" t="s">
        <v>1310</v>
      </c>
      <c r="H18" s="72" t="s">
        <v>1311</v>
      </c>
      <c r="I18" s="72" t="s">
        <v>1312</v>
      </c>
      <c r="J18" s="72" t="s">
        <v>1313</v>
      </c>
    </row>
    <row r="19" spans="1:10" ht="25.5">
      <c r="A19" s="2">
        <v>8</v>
      </c>
      <c r="B19" s="2" t="s">
        <v>589</v>
      </c>
      <c r="C19" s="24" t="str">
        <f t="shared" si="0"/>
        <v>Яцек Кузьмановський (1987), Радослав Полшевський (1987)</v>
      </c>
      <c r="D19" s="103" t="str">
        <f t="shared" si="1"/>
        <v>Iлля Бретший (1987)</v>
      </c>
      <c r="E19" s="89" t="str">
        <f t="shared" si="1"/>
        <v>Карел Штанек (1988)</v>
      </c>
      <c r="F19" s="106"/>
      <c r="G19" s="72" t="s">
        <v>1315</v>
      </c>
      <c r="H19" s="72" t="s">
        <v>1314</v>
      </c>
      <c r="I19" s="72" t="s">
        <v>1316</v>
      </c>
      <c r="J19" s="72" t="s">
        <v>1317</v>
      </c>
    </row>
    <row r="20" spans="1:9" ht="25.5" customHeight="1">
      <c r="A20" s="2">
        <v>9</v>
      </c>
      <c r="B20" s="20" t="s">
        <v>587</v>
      </c>
      <c r="C20" s="24" t="str">
        <f t="shared" si="0"/>
        <v>Радослав Гуляшек (1985), Мирослав Єшаєк (1985)</v>
      </c>
      <c r="D20" s="103" t="str">
        <f>I20</f>
        <v>Павел Явшинек (1988)</v>
      </c>
      <c r="E20" s="66"/>
      <c r="F20" s="106"/>
      <c r="G20" s="72" t="s">
        <v>1318</v>
      </c>
      <c r="H20" s="72" t="s">
        <v>1320</v>
      </c>
      <c r="I20" s="72" t="s">
        <v>1319</v>
      </c>
    </row>
    <row r="21" spans="1:9" ht="25.5" customHeight="1">
      <c r="A21" s="2">
        <v>10</v>
      </c>
      <c r="B21" s="2" t="s">
        <v>1015</v>
      </c>
      <c r="C21" s="24" t="str">
        <f t="shared" si="0"/>
        <v>Олкан Демегрел (1987), Хакан Рамасан (1982)</v>
      </c>
      <c r="D21" s="66"/>
      <c r="E21" s="89" t="str">
        <f>I21</f>
        <v>Емре Савух (1988)</v>
      </c>
      <c r="F21" s="106"/>
      <c r="G21" s="72" t="s">
        <v>1321</v>
      </c>
      <c r="H21" s="72" t="s">
        <v>1322</v>
      </c>
      <c r="I21" s="72" t="s">
        <v>1323</v>
      </c>
    </row>
    <row r="22" spans="1:9" ht="25.5">
      <c r="A22" s="2">
        <v>11</v>
      </c>
      <c r="B22" s="2" t="s">
        <v>886</v>
      </c>
      <c r="C22" s="4" t="str">
        <f>G22</f>
        <v>Боббі Скарлоу (1986)</v>
      </c>
      <c r="D22" s="103" t="str">
        <f>CONCATENATE(H22,", ",I22)</f>
        <v>Енді Маркуша (1986), Брайан Рiчардс (1988)</v>
      </c>
      <c r="E22" s="66"/>
      <c r="F22" s="106"/>
      <c r="G22" s="72" t="s">
        <v>1324</v>
      </c>
      <c r="H22" s="72" t="s">
        <v>1325</v>
      </c>
      <c r="I22" s="72" t="s">
        <v>1326</v>
      </c>
    </row>
    <row r="23" spans="1:9" ht="25.5">
      <c r="A23" s="2">
        <v>12</v>
      </c>
      <c r="B23" s="2" t="s">
        <v>592</v>
      </c>
      <c r="C23" s="4" t="str">
        <f>G23</f>
        <v>Ян Коварт (1983)</v>
      </c>
      <c r="D23" s="103" t="str">
        <f>CONCATENATE(H23,", ",I23)</f>
        <v>Хайнц Бергур (1985), Йохан Продольний (1988)</v>
      </c>
      <c r="E23" s="25"/>
      <c r="F23" s="106"/>
      <c r="G23" s="72" t="s">
        <v>1327</v>
      </c>
      <c r="H23" s="72" t="s">
        <v>1328</v>
      </c>
      <c r="I23" s="72" t="s">
        <v>1329</v>
      </c>
    </row>
    <row r="24" spans="1:6" ht="12.75">
      <c r="A24" s="2">
        <v>13</v>
      </c>
      <c r="B24" s="2" t="s">
        <v>627</v>
      </c>
      <c r="C24" s="4" t="s">
        <v>1330</v>
      </c>
      <c r="D24" s="104" t="s">
        <v>1332</v>
      </c>
      <c r="E24" s="66" t="s">
        <v>1331</v>
      </c>
      <c r="F24" s="106"/>
    </row>
    <row r="25" spans="1:6" ht="12.75">
      <c r="A25" s="2">
        <v>14</v>
      </c>
      <c r="B25" s="2" t="s">
        <v>1018</v>
      </c>
      <c r="C25" s="16" t="s">
        <v>1335</v>
      </c>
      <c r="D25" s="104" t="s">
        <v>1333</v>
      </c>
      <c r="E25" s="89" t="s">
        <v>1334</v>
      </c>
      <c r="F25" s="106"/>
    </row>
    <row r="26" spans="1:6" ht="12.75">
      <c r="A26" s="2">
        <v>15</v>
      </c>
      <c r="B26" s="2" t="s">
        <v>843</v>
      </c>
      <c r="C26" s="66" t="s">
        <v>1336</v>
      </c>
      <c r="D26" s="104" t="s">
        <v>1337</v>
      </c>
      <c r="E26" s="89" t="s">
        <v>1338</v>
      </c>
      <c r="F26" s="106"/>
    </row>
    <row r="27" spans="1:6" ht="12.75">
      <c r="A27" s="2">
        <v>16</v>
      </c>
      <c r="B27" s="2" t="s">
        <v>595</v>
      </c>
      <c r="C27" s="4" t="s">
        <v>1508</v>
      </c>
      <c r="D27" s="104" t="s">
        <v>1340</v>
      </c>
      <c r="E27" s="89" t="s">
        <v>1339</v>
      </c>
      <c r="F27" s="106"/>
    </row>
    <row r="28" spans="1:6" ht="12.75">
      <c r="A28" s="2">
        <v>17</v>
      </c>
      <c r="B28" s="2" t="s">
        <v>596</v>
      </c>
      <c r="C28" s="4" t="s">
        <v>1341</v>
      </c>
      <c r="D28" s="104" t="s">
        <v>1342</v>
      </c>
      <c r="E28" s="89" t="s">
        <v>1343</v>
      </c>
      <c r="F28" s="106"/>
    </row>
    <row r="29" spans="1:6" ht="12.75">
      <c r="A29" s="2">
        <v>18</v>
      </c>
      <c r="B29" s="2" t="s">
        <v>588</v>
      </c>
      <c r="C29" s="24" t="s">
        <v>1344</v>
      </c>
      <c r="D29" s="104" t="s">
        <v>1346</v>
      </c>
      <c r="E29" s="89" t="s">
        <v>1345</v>
      </c>
      <c r="F29" s="106"/>
    </row>
    <row r="30" spans="1:6" ht="12.75">
      <c r="A30" s="2">
        <v>19</v>
      </c>
      <c r="B30" s="2" t="s">
        <v>600</v>
      </c>
      <c r="C30" s="4" t="s">
        <v>1347</v>
      </c>
      <c r="D30" s="104" t="s">
        <v>1348</v>
      </c>
      <c r="E30" s="89" t="s">
        <v>1349</v>
      </c>
      <c r="F30" s="106"/>
    </row>
    <row r="31" spans="1:6" ht="12.75">
      <c r="A31" s="2">
        <v>20</v>
      </c>
      <c r="B31" s="2" t="s">
        <v>598</v>
      </c>
      <c r="C31" s="4" t="s">
        <v>1350</v>
      </c>
      <c r="D31" s="104" t="s">
        <v>1351</v>
      </c>
      <c r="E31" s="89" t="s">
        <v>1352</v>
      </c>
      <c r="F31" s="106"/>
    </row>
    <row r="32" spans="1:6" ht="12.75">
      <c r="A32" s="2">
        <v>21</v>
      </c>
      <c r="B32" s="2" t="s">
        <v>1017</v>
      </c>
      <c r="C32" s="4" t="s">
        <v>1353</v>
      </c>
      <c r="D32" s="104" t="s">
        <v>1354</v>
      </c>
      <c r="E32" s="89" t="s">
        <v>1355</v>
      </c>
      <c r="F32" s="106"/>
    </row>
    <row r="33" spans="1:9" ht="25.5">
      <c r="A33" s="2">
        <v>22</v>
      </c>
      <c r="B33" s="21" t="s">
        <v>1020</v>
      </c>
      <c r="C33" s="4" t="str">
        <f>G33</f>
        <v>Златан Фонтановіч (1986)</v>
      </c>
      <c r="D33" s="66"/>
      <c r="E33" s="90" t="str">
        <f>CONCATENATE(I33,", ",H33)</f>
        <v>Дебатiк Ангеловськи (1988), Марек Гульовськи (1984)</v>
      </c>
      <c r="F33" s="106"/>
      <c r="G33" s="107" t="s">
        <v>1356</v>
      </c>
      <c r="H33" s="72" t="s">
        <v>1357</v>
      </c>
      <c r="I33" s="72" t="s">
        <v>1358</v>
      </c>
    </row>
    <row r="34" spans="1:9" ht="25.5">
      <c r="A34" s="2">
        <v>23</v>
      </c>
      <c r="B34" s="2" t="s">
        <v>725</v>
      </c>
      <c r="C34" s="4" t="str">
        <f>G34</f>
        <v>Аспарух Святоржинов (1985)</v>
      </c>
      <c r="D34" s="66"/>
      <c r="E34" s="90" t="str">
        <f>CONCATENATE(I34,", ",H34)</f>
        <v>Ненад Єдєв (1988), Iван Голосков (1985)</v>
      </c>
      <c r="F34" s="106"/>
      <c r="G34" s="72" t="s">
        <v>1359</v>
      </c>
      <c r="H34" s="72" t="s">
        <v>1360</v>
      </c>
      <c r="I34" s="72" t="s">
        <v>1361</v>
      </c>
    </row>
    <row r="35" spans="1:9" ht="31.5" customHeight="1">
      <c r="A35" s="2">
        <v>24</v>
      </c>
      <c r="B35" s="2" t="s">
        <v>781</v>
      </c>
      <c r="C35" s="4" t="str">
        <f>G35</f>
        <v>Штiмас Епоро (1988)</v>
      </c>
      <c r="D35" s="66"/>
      <c r="E35" s="90" t="str">
        <f>CONCATENATE(I35,", ",H35)</f>
        <v>Андрюс Паалстінес (1982), Дайнi Ляяма (1988)</v>
      </c>
      <c r="F35" s="106"/>
      <c r="G35" s="72" t="s">
        <v>1363</v>
      </c>
      <c r="H35" s="72" t="s">
        <v>1364</v>
      </c>
      <c r="I35" s="107" t="s">
        <v>1362</v>
      </c>
    </row>
    <row r="36" spans="1:9" ht="29.25" customHeight="1">
      <c r="A36" s="2">
        <v>25</v>
      </c>
      <c r="B36" s="2" t="s">
        <v>1022</v>
      </c>
      <c r="C36" s="4" t="str">
        <f>G36</f>
        <v>Ерхан Трет'як (1987)</v>
      </c>
      <c r="D36" s="66"/>
      <c r="E36" s="90" t="str">
        <f>CONCATENATE(I36,", ",H36)</f>
        <v>Геннадiй Горан (1988), Андрiй Кропiну (1987)</v>
      </c>
      <c r="F36" s="106"/>
      <c r="G36" s="72" t="s">
        <v>1365</v>
      </c>
      <c r="H36" s="72" t="s">
        <v>1366</v>
      </c>
      <c r="I36" s="72" t="s">
        <v>1367</v>
      </c>
    </row>
    <row r="37" spans="1:9" ht="25.5" customHeight="1">
      <c r="A37" s="2">
        <v>26</v>
      </c>
      <c r="B37" s="2" t="s">
        <v>690</v>
      </c>
      <c r="C37" s="4"/>
      <c r="D37" s="103" t="str">
        <f aca="true" t="shared" si="2" ref="D37:D42">CONCATENATE(G37,", ",H37)</f>
        <v>Роббі Кіслей (1986), Марк Хартлен (1985)</v>
      </c>
      <c r="E37" s="89" t="str">
        <f aca="true" t="shared" si="3" ref="E37:E42">I37</f>
        <v>Деннi Хартiн (1988)</v>
      </c>
      <c r="F37" s="106"/>
      <c r="G37" s="72" t="s">
        <v>1368</v>
      </c>
      <c r="H37" s="72" t="s">
        <v>1369</v>
      </c>
      <c r="I37" s="72" t="s">
        <v>1370</v>
      </c>
    </row>
    <row r="38" spans="1:9" ht="27.75" customHeight="1">
      <c r="A38" s="2">
        <v>27</v>
      </c>
      <c r="B38" s="2" t="s">
        <v>654</v>
      </c>
      <c r="C38" s="4"/>
      <c r="D38" s="103" t="str">
        <f t="shared" si="2"/>
        <v>Крістіан Міхсшольд (1983), Андрес Сульзден (1988)</v>
      </c>
      <c r="E38" s="89" t="str">
        <f t="shared" si="3"/>
        <v>Томас Глорссен (1988)</v>
      </c>
      <c r="F38" s="106"/>
      <c r="G38" s="72" t="s">
        <v>1371</v>
      </c>
      <c r="H38" s="72" t="s">
        <v>1372</v>
      </c>
      <c r="I38" s="72" t="s">
        <v>1373</v>
      </c>
    </row>
    <row r="39" spans="1:9" ht="36" customHeight="1">
      <c r="A39" s="2">
        <v>28</v>
      </c>
      <c r="B39" s="2" t="s">
        <v>790</v>
      </c>
      <c r="C39" s="4"/>
      <c r="D39" s="103" t="str">
        <f t="shared" si="2"/>
        <v>Ігорс Сауседас (1986), Вікторас Кульзітос (1987)</v>
      </c>
      <c r="E39" s="89" t="str">
        <f t="shared" si="3"/>
        <v>Алджимас Курілос (1986)</v>
      </c>
      <c r="F39" s="106"/>
      <c r="G39" s="72" t="s">
        <v>1374</v>
      </c>
      <c r="H39" s="72" t="s">
        <v>1375</v>
      </c>
      <c r="I39" s="72" t="s">
        <v>1376</v>
      </c>
    </row>
    <row r="40" spans="1:9" ht="26.25" customHeight="1">
      <c r="A40" s="2">
        <v>29</v>
      </c>
      <c r="B40" s="2" t="s">
        <v>1019</v>
      </c>
      <c r="C40" s="4"/>
      <c r="D40" s="103" t="str">
        <f t="shared" si="2"/>
        <v>Євген Шертюкевич (1985), Антон Мiлiшко (1988)</v>
      </c>
      <c r="E40" s="89" t="str">
        <f t="shared" si="3"/>
        <v>Володимир Крупевiч (1987)</v>
      </c>
      <c r="F40" s="106"/>
      <c r="G40" s="72" t="s">
        <v>1377</v>
      </c>
      <c r="H40" s="72" t="s">
        <v>1378</v>
      </c>
      <c r="I40" s="72" t="s">
        <v>1379</v>
      </c>
    </row>
    <row r="41" spans="1:9" ht="30" customHeight="1">
      <c r="A41" s="2">
        <v>30</v>
      </c>
      <c r="B41" s="2" t="s">
        <v>669</v>
      </c>
      <c r="C41" s="4"/>
      <c r="D41" s="103" t="str">
        <f t="shared" si="2"/>
        <v>Васіліос Заржиді (1984), Георгіос Хлантініс (1984)</v>
      </c>
      <c r="E41" s="89" t="str">
        <f t="shared" si="3"/>
        <v>Аксус Матанакiс (1988)</v>
      </c>
      <c r="F41" s="106"/>
      <c r="G41" s="72" t="s">
        <v>1380</v>
      </c>
      <c r="H41" s="72" t="s">
        <v>1381</v>
      </c>
      <c r="I41" s="72" t="s">
        <v>1382</v>
      </c>
    </row>
    <row r="42" spans="1:9" ht="27" customHeight="1">
      <c r="A42" s="2">
        <v>31</v>
      </c>
      <c r="B42" s="2" t="s">
        <v>1021</v>
      </c>
      <c r="C42" s="4"/>
      <c r="D42" s="103" t="str">
        <f t="shared" si="2"/>
        <v>Оман Зеде (1985), Дамiр Ламбан (1987)</v>
      </c>
      <c r="E42" s="89" t="str">
        <f t="shared" si="3"/>
        <v>Армен Сiлан (1988)</v>
      </c>
      <c r="F42" s="106"/>
      <c r="G42" s="72" t="s">
        <v>1383</v>
      </c>
      <c r="H42" s="72" t="s">
        <v>1384</v>
      </c>
      <c r="I42" s="72" t="s">
        <v>1385</v>
      </c>
    </row>
    <row r="43" spans="1:9" ht="25.5" customHeight="1">
      <c r="A43" s="2">
        <v>32</v>
      </c>
      <c r="B43" s="2" t="s">
        <v>785</v>
      </c>
      <c r="C43" s="4"/>
      <c r="D43" s="104" t="str">
        <f aca="true" t="shared" si="4" ref="D43:D48">G43</f>
        <v>Вітас Фарітас (1985)</v>
      </c>
      <c r="E43" s="90" t="str">
        <f aca="true" t="shared" si="5" ref="E43:E48">CONCATENATE(I43,", ",H43)</f>
        <v>Антонiс Катанус (1988), Олексіас Датiнс (1988)</v>
      </c>
      <c r="F43" s="106"/>
      <c r="G43" s="72" t="s">
        <v>1386</v>
      </c>
      <c r="H43" s="72" t="s">
        <v>1387</v>
      </c>
      <c r="I43" s="72" t="s">
        <v>1388</v>
      </c>
    </row>
    <row r="44" spans="1:9" ht="24" customHeight="1">
      <c r="A44" s="2">
        <v>33</v>
      </c>
      <c r="B44" s="2" t="s">
        <v>602</v>
      </c>
      <c r="C44" s="4"/>
      <c r="D44" s="104" t="str">
        <f t="shared" si="4"/>
        <v>Фредер Арбсон (1985)</v>
      </c>
      <c r="E44" s="90" t="str">
        <f t="shared" si="5"/>
        <v>Абрель Хабi (1988), Томаш Герiссон (1988)</v>
      </c>
      <c r="F44" s="106"/>
      <c r="G44" s="72" t="s">
        <v>1389</v>
      </c>
      <c r="H44" s="72" t="s">
        <v>1390</v>
      </c>
      <c r="I44" s="72" t="s">
        <v>1392</v>
      </c>
    </row>
    <row r="45" spans="1:9" ht="24.75" customHeight="1">
      <c r="A45" s="2">
        <v>34</v>
      </c>
      <c r="B45" s="2" t="s">
        <v>1023</v>
      </c>
      <c r="C45" s="4"/>
      <c r="D45" s="104" t="str">
        <f t="shared" si="4"/>
        <v> Тордер Лююлайнен (1982)</v>
      </c>
      <c r="E45" s="90" t="str">
        <f t="shared" si="5"/>
        <v>Ярi Кулiяонi (1988), Штак Лазiя (1988)</v>
      </c>
      <c r="F45" s="106"/>
      <c r="G45" s="72" t="s">
        <v>1391</v>
      </c>
      <c r="H45" s="72" t="s">
        <v>1393</v>
      </c>
      <c r="I45" s="72" t="s">
        <v>1394</v>
      </c>
    </row>
    <row r="46" spans="1:9" ht="24.75" customHeight="1">
      <c r="A46" s="2">
        <v>35</v>
      </c>
      <c r="B46" s="2" t="s">
        <v>720</v>
      </c>
      <c r="C46" s="4"/>
      <c r="D46" s="104" t="str">
        <f t="shared" si="4"/>
        <v>Лукаш Нівіо (1984)</v>
      </c>
      <c r="E46" s="90" t="str">
        <f t="shared" si="5"/>
        <v>Лівіо Піронті (1985), Тiм Ховшель (1986)</v>
      </c>
      <c r="F46" s="106"/>
      <c r="G46" s="72" t="s">
        <v>1395</v>
      </c>
      <c r="H46" s="72" t="s">
        <v>1397</v>
      </c>
      <c r="I46" s="72" t="s">
        <v>1396</v>
      </c>
    </row>
    <row r="47" spans="1:9" ht="32.25" customHeight="1">
      <c r="A47" s="2">
        <v>36</v>
      </c>
      <c r="B47" s="2" t="s">
        <v>802</v>
      </c>
      <c r="C47" s="4"/>
      <c r="D47" s="104" t="str">
        <f t="shared" si="4"/>
        <v>Ян Стапж (1988)</v>
      </c>
      <c r="E47" s="90" t="str">
        <f t="shared" si="5"/>
        <v>Рональд Делтафлаєр (1986), Ян Самтерд (1987)</v>
      </c>
      <c r="F47" s="106"/>
      <c r="G47" s="72" t="s">
        <v>1398</v>
      </c>
      <c r="H47" s="72" t="s">
        <v>1400</v>
      </c>
      <c r="I47" s="72" t="s">
        <v>1399</v>
      </c>
    </row>
    <row r="48" spans="1:9" ht="28.5" customHeight="1">
      <c r="A48" s="2">
        <v>37</v>
      </c>
      <c r="B48" s="2" t="s">
        <v>1025</v>
      </c>
      <c r="C48" s="4"/>
      <c r="D48" s="104" t="str">
        <f t="shared" si="4"/>
        <v>Автанділ Шапанідзе (1984)</v>
      </c>
      <c r="E48" s="90" t="str">
        <f t="shared" si="5"/>
        <v>Георгiй Манвалi (1988), Iраклiй Сарiя (1987)</v>
      </c>
      <c r="F48" s="106"/>
      <c r="G48" s="72" t="s">
        <v>1401</v>
      </c>
      <c r="H48" s="72" t="s">
        <v>1402</v>
      </c>
      <c r="I48" s="72" t="s">
        <v>1403</v>
      </c>
    </row>
    <row r="49" spans="1:9" ht="39.75" customHeight="1">
      <c r="A49" s="2">
        <v>38</v>
      </c>
      <c r="B49" s="2" t="s">
        <v>685</v>
      </c>
      <c r="C49" s="4"/>
      <c r="D49" s="4"/>
      <c r="E49" s="90" t="str">
        <f>CONCATENATE(G49,", ",I49,", ",H49)</f>
        <v>Мiклен Йєнус (1988), Стефан Зайча (1988), Штефан Клаустер (1987)</v>
      </c>
      <c r="F49" s="106"/>
      <c r="G49" s="72" t="s">
        <v>1405</v>
      </c>
      <c r="H49" s="72" t="s">
        <v>1404</v>
      </c>
      <c r="I49" s="72" t="s">
        <v>1406</v>
      </c>
    </row>
    <row r="50" spans="1:9" ht="40.5" customHeight="1">
      <c r="A50" s="2">
        <v>39</v>
      </c>
      <c r="B50" s="2" t="s">
        <v>734</v>
      </c>
      <c r="C50" s="4"/>
      <c r="D50" s="4"/>
      <c r="E50" s="90" t="str">
        <f>CONCATENATE(G50,", ",I50,", ",H50)</f>
        <v>Тiмуш Сейдж (1987), Томаш Будхельд (1988), Михаель Кулшаєр (1986)</v>
      </c>
      <c r="F50" s="106"/>
      <c r="G50" s="72" t="s">
        <v>1407</v>
      </c>
      <c r="H50" s="72" t="s">
        <v>1408</v>
      </c>
      <c r="I50" s="72" t="s">
        <v>1409</v>
      </c>
    </row>
    <row r="51" spans="1:8" ht="28.5" customHeight="1">
      <c r="A51" s="2">
        <v>40</v>
      </c>
      <c r="B51" s="2" t="s">
        <v>1024</v>
      </c>
      <c r="C51" s="4"/>
      <c r="D51" s="4"/>
      <c r="E51" s="90" t="str">
        <f aca="true" t="shared" si="6" ref="E51:E56">CONCATENATE(G51,", ",H51)</f>
        <v>Ашот Мхарян (1988), Саркiз Озарян (1987)</v>
      </c>
      <c r="F51" s="106"/>
      <c r="G51" s="72" t="s">
        <v>1410</v>
      </c>
      <c r="H51" s="72" t="s">
        <v>1411</v>
      </c>
    </row>
    <row r="52" spans="1:8" ht="25.5" customHeight="1">
      <c r="A52" s="2">
        <v>41</v>
      </c>
      <c r="B52" s="2" t="s">
        <v>1028</v>
      </c>
      <c r="C52" s="4"/>
      <c r="D52" s="4"/>
      <c r="E52" s="90" t="str">
        <f t="shared" si="6"/>
        <v>Харім Кульпані (1984), Йоссі Лупаріюн (1983)</v>
      </c>
      <c r="F52" s="106"/>
      <c r="G52" s="72" t="s">
        <v>1412</v>
      </c>
      <c r="H52" s="72" t="s">
        <v>1413</v>
      </c>
    </row>
    <row r="53" spans="1:8" ht="27.75" customHeight="1">
      <c r="A53" s="2">
        <v>42</v>
      </c>
      <c r="B53" s="2" t="s">
        <v>1027</v>
      </c>
      <c r="C53" s="4"/>
      <c r="D53" s="4"/>
      <c r="E53" s="90" t="str">
        <f t="shared" si="6"/>
        <v>Онго Полянс (1982), Іадор Фурлет (1985)</v>
      </c>
      <c r="F53" s="106"/>
      <c r="G53" s="72" t="s">
        <v>1414</v>
      </c>
      <c r="H53" s="72" t="s">
        <v>1415</v>
      </c>
    </row>
    <row r="54" spans="1:8" ht="29.25" customHeight="1">
      <c r="A54" s="2">
        <v>43</v>
      </c>
      <c r="B54" s="2" t="s">
        <v>1029</v>
      </c>
      <c r="C54" s="4"/>
      <c r="D54" s="4"/>
      <c r="E54" s="90" t="str">
        <f t="shared" si="6"/>
        <v>Тiмур Гасанов (1988), Карiм Мєков (1988)</v>
      </c>
      <c r="F54" s="106"/>
      <c r="G54" s="72" t="s">
        <v>1416</v>
      </c>
      <c r="H54" s="72" t="s">
        <v>1417</v>
      </c>
    </row>
    <row r="55" spans="1:8" ht="39" customHeight="1">
      <c r="A55" s="2">
        <v>44</v>
      </c>
      <c r="B55" s="2" t="s">
        <v>1026</v>
      </c>
      <c r="C55" s="4"/>
      <c r="D55" s="4"/>
      <c r="E55" s="90" t="str">
        <f t="shared" si="6"/>
        <v>Крістіан Дубакрайтінссон (1984), Тордер Сольсен (1987)</v>
      </c>
      <c r="F55" s="106"/>
      <c r="G55" s="72" t="s">
        <v>1418</v>
      </c>
      <c r="H55" s="72" t="s">
        <v>1419</v>
      </c>
    </row>
    <row r="56" spans="1:8" ht="25.5">
      <c r="A56" s="2">
        <v>45</v>
      </c>
      <c r="B56" s="2" t="s">
        <v>1030</v>
      </c>
      <c r="C56" s="4"/>
      <c r="D56" s="4"/>
      <c r="E56" s="90" t="str">
        <f t="shared" si="6"/>
        <v>Мiлан Акобсен (1988), Сiльвен Педерсон (1987)</v>
      </c>
      <c r="F56" s="106"/>
      <c r="G56" s="72" t="s">
        <v>1420</v>
      </c>
      <c r="H56" s="72" t="s">
        <v>1421</v>
      </c>
    </row>
    <row r="57" spans="1:7" ht="12.75">
      <c r="A57" s="2">
        <v>46</v>
      </c>
      <c r="B57" s="2" t="s">
        <v>1031</v>
      </c>
      <c r="C57" s="4"/>
      <c r="D57" s="4"/>
      <c r="E57" s="89" t="str">
        <f>G57</f>
        <v>Маркус Рiрер (1988)</v>
      </c>
      <c r="F57" s="106"/>
      <c r="G57" s="72" t="s">
        <v>1422</v>
      </c>
    </row>
    <row r="58" spans="1:7" ht="12.75">
      <c r="A58" s="2">
        <v>47</v>
      </c>
      <c r="B58" s="2" t="s">
        <v>1032</v>
      </c>
      <c r="C58" s="4"/>
      <c r="D58" s="4"/>
      <c r="E58" s="89" t="str">
        <f>G58</f>
        <v>Томаш Міф (1982)</v>
      </c>
      <c r="F58" s="106"/>
      <c r="G58" s="72" t="s">
        <v>1423</v>
      </c>
    </row>
    <row r="59" spans="1:7" ht="12.75">
      <c r="A59" s="2">
        <v>48</v>
      </c>
      <c r="B59" s="2" t="s">
        <v>1033</v>
      </c>
      <c r="C59" s="4"/>
      <c r="D59" s="4"/>
      <c r="E59" s="89" t="str">
        <f>G59</f>
        <v>Антоніо Полізіно (1982)</v>
      </c>
      <c r="F59" s="106"/>
      <c r="G59" s="72" t="s">
        <v>1424</v>
      </c>
    </row>
    <row r="60" spans="1:7" ht="12.75">
      <c r="A60" s="2">
        <v>49</v>
      </c>
      <c r="B60" s="2" t="s">
        <v>1034</v>
      </c>
      <c r="C60" s="4"/>
      <c r="D60" s="4"/>
      <c r="E60" s="89" t="str">
        <f>G60</f>
        <v>Хуан Пога (1983)</v>
      </c>
      <c r="F60" s="106"/>
      <c r="G60" s="72" t="s">
        <v>1425</v>
      </c>
    </row>
    <row r="61" spans="1:3" ht="12.75">
      <c r="A61" s="4"/>
      <c r="B61" s="4"/>
      <c r="C61" s="16"/>
    </row>
    <row r="62" spans="1:3" ht="12.75">
      <c r="A62" s="4"/>
      <c r="B62" s="4"/>
      <c r="C62" s="16"/>
    </row>
    <row r="63" spans="4:6" ht="24.75" customHeight="1">
      <c r="D63" s="24"/>
      <c r="E63" s="24" t="s">
        <v>607</v>
      </c>
      <c r="F63" s="108"/>
    </row>
    <row r="64" spans="4:5" ht="30.75" customHeight="1">
      <c r="D64" s="24"/>
      <c r="E64" s="1" t="s">
        <v>604</v>
      </c>
    </row>
    <row r="65" spans="4:5" ht="12.75">
      <c r="D65" s="1"/>
      <c r="E65" s="1" t="s">
        <v>605</v>
      </c>
    </row>
    <row r="66" spans="4:5" ht="12.75">
      <c r="D66" s="1"/>
      <c r="E66" s="1" t="s">
        <v>606</v>
      </c>
    </row>
    <row r="69" spans="1:4" ht="12.75">
      <c r="A69" s="127"/>
      <c r="B69" s="127"/>
      <c r="C69" s="127"/>
      <c r="D69" s="127"/>
    </row>
    <row r="70" spans="1:4" ht="12.75">
      <c r="A70" s="127" t="s">
        <v>1043</v>
      </c>
      <c r="B70" s="127"/>
      <c r="C70" s="127"/>
      <c r="D70" s="127"/>
    </row>
    <row r="71" spans="1:4" ht="12.75">
      <c r="A71" s="76"/>
      <c r="B71" s="76" t="s">
        <v>1044</v>
      </c>
      <c r="C71" s="76"/>
      <c r="D71" s="76"/>
    </row>
    <row r="72" spans="1:3" ht="12.75">
      <c r="A72" s="126" t="s">
        <v>1432</v>
      </c>
      <c r="B72" s="126"/>
      <c r="C72" s="126"/>
    </row>
    <row r="73" spans="1:9" ht="12.75">
      <c r="A73" s="1" t="s">
        <v>940</v>
      </c>
      <c r="B73" s="1" t="s">
        <v>958</v>
      </c>
      <c r="C73" s="1" t="s">
        <v>577</v>
      </c>
      <c r="D73" s="1" t="s">
        <v>578</v>
      </c>
      <c r="E73" s="38" t="s">
        <v>28</v>
      </c>
      <c r="H73" s="72" t="str">
        <f>CONCATENATE(A73,". ",B73,"  ",C73)</f>
        <v>№. І.П.рік нар.  Країна</v>
      </c>
      <c r="I73" s="54" t="str">
        <f>E73</f>
        <v>ЧАС</v>
      </c>
    </row>
    <row r="74" spans="1:9" ht="12.75">
      <c r="A74" s="19">
        <v>1</v>
      </c>
      <c r="B74" s="60" t="s">
        <v>1293</v>
      </c>
      <c r="C74" s="60" t="s">
        <v>1426</v>
      </c>
      <c r="D74" s="38"/>
      <c r="E74" s="54">
        <v>1.3432175925925927</v>
      </c>
      <c r="H74" s="72" t="str">
        <f>CONCATENATE(A74,". ",B74,"  ",C74)</f>
        <v>1. Едвiн Ван Кастель (1987)  Голандiя</v>
      </c>
      <c r="I74" s="54">
        <f>E74</f>
        <v>1.3432175925925927</v>
      </c>
    </row>
    <row r="75" spans="1:9" ht="12.75">
      <c r="A75" s="1">
        <v>2</v>
      </c>
      <c r="B75" s="20" t="s">
        <v>1323</v>
      </c>
      <c r="C75" s="2" t="s">
        <v>1015</v>
      </c>
      <c r="D75" s="2"/>
      <c r="E75" s="28">
        <v>1.3826388888888888</v>
      </c>
      <c r="H75" s="72" t="str">
        <f aca="true" t="shared" si="7" ref="H75:H138">CONCATENATE(A75,". ",B75,"  ",C75)</f>
        <v>2. Емре Савух (1988)  Туреччина</v>
      </c>
      <c r="I75" s="54">
        <f aca="true" t="shared" si="8" ref="I75:I136">E75</f>
        <v>1.3826388888888888</v>
      </c>
    </row>
    <row r="76" spans="1:9" ht="12.75">
      <c r="A76" s="19">
        <v>3</v>
      </c>
      <c r="B76" s="20" t="s">
        <v>1338</v>
      </c>
      <c r="C76" s="19" t="s">
        <v>1427</v>
      </c>
      <c r="D76" s="19"/>
      <c r="E76" s="28">
        <v>1.4202662037037037</v>
      </c>
      <c r="H76" s="72" t="str">
        <f t="shared" si="7"/>
        <v>3. Звєздан Кладіміч (1985)  Боснiя</v>
      </c>
      <c r="I76" s="54">
        <f t="shared" si="8"/>
        <v>1.4202662037037037</v>
      </c>
    </row>
    <row r="77" spans="1:9" ht="12.75">
      <c r="A77" s="19">
        <v>4</v>
      </c>
      <c r="B77" s="1" t="s">
        <v>1358</v>
      </c>
      <c r="C77" s="1" t="s">
        <v>1428</v>
      </c>
      <c r="D77" s="1"/>
      <c r="E77" s="5">
        <v>1.4320717592592593</v>
      </c>
      <c r="H77" s="72" t="str">
        <f t="shared" si="7"/>
        <v>4. Дебатiк Ангеловськи (1988)  Македонiя</v>
      </c>
      <c r="I77" s="54">
        <f t="shared" si="8"/>
        <v>1.4320717592592593</v>
      </c>
    </row>
    <row r="78" spans="1:9" ht="12.75">
      <c r="A78" s="1">
        <v>5</v>
      </c>
      <c r="B78" s="20" t="s">
        <v>1403</v>
      </c>
      <c r="C78" s="2" t="s">
        <v>1431</v>
      </c>
      <c r="D78" s="28"/>
      <c r="E78" s="28">
        <v>1.5077546296296296</v>
      </c>
      <c r="H78" s="72" t="str">
        <f t="shared" si="7"/>
        <v>5. Георгiй Манвалi (1988)  Грузiя</v>
      </c>
      <c r="I78" s="54">
        <f t="shared" si="8"/>
        <v>1.5077546296296296</v>
      </c>
    </row>
    <row r="79" spans="1:9" ht="12.75">
      <c r="A79" s="19">
        <v>6</v>
      </c>
      <c r="B79" s="20" t="s">
        <v>1376</v>
      </c>
      <c r="C79" s="1" t="s">
        <v>1429</v>
      </c>
      <c r="D79" s="28"/>
      <c r="E79" s="28">
        <v>1.518275462962963</v>
      </c>
      <c r="H79" s="72" t="str">
        <f t="shared" si="7"/>
        <v>6. Алджимас Курілос (1986)  Латвiя</v>
      </c>
      <c r="I79" s="54">
        <f t="shared" si="8"/>
        <v>1.518275462962963</v>
      </c>
    </row>
    <row r="80" spans="1:9" ht="12.75">
      <c r="A80" s="19">
        <v>7</v>
      </c>
      <c r="B80" s="1" t="s">
        <v>1425</v>
      </c>
      <c r="C80" s="2" t="s">
        <v>1034</v>
      </c>
      <c r="D80" s="28"/>
      <c r="E80" s="28">
        <v>1.5994328703703704</v>
      </c>
      <c r="H80" s="72" t="str">
        <f t="shared" si="7"/>
        <v>7. Хуан Пога (1983)  Андорра</v>
      </c>
      <c r="I80" s="54">
        <f t="shared" si="8"/>
        <v>1.5994328703703704</v>
      </c>
    </row>
    <row r="81" spans="1:9" ht="12.75">
      <c r="A81" s="1">
        <v>8</v>
      </c>
      <c r="B81" s="2" t="s">
        <v>1373</v>
      </c>
      <c r="C81" s="1" t="s">
        <v>1430</v>
      </c>
      <c r="D81" s="28"/>
      <c r="E81" s="28">
        <v>1.6164930555555557</v>
      </c>
      <c r="H81" s="72" t="str">
        <f t="shared" si="7"/>
        <v>8. Томас Глорссен (1988)  Норвегiя</v>
      </c>
      <c r="I81" s="54">
        <f t="shared" si="8"/>
        <v>1.6164930555555557</v>
      </c>
    </row>
    <row r="82" spans="8:9" ht="12.75">
      <c r="H82" s="72" t="str">
        <f t="shared" si="7"/>
        <v>.   </v>
      </c>
      <c r="I82" s="54"/>
    </row>
    <row r="83" spans="1:9" ht="12.75">
      <c r="A83" s="126" t="s">
        <v>1439</v>
      </c>
      <c r="B83" s="126"/>
      <c r="C83" s="126"/>
      <c r="H83" s="72" t="str">
        <f t="shared" si="7"/>
        <v>Забіг № 2 (23 вересня, пт, 17:00). Словаччина (Братислава).   </v>
      </c>
      <c r="I83" s="54"/>
    </row>
    <row r="84" spans="1:9" ht="12.75">
      <c r="A84" s="1" t="s">
        <v>940</v>
      </c>
      <c r="B84" s="1" t="s">
        <v>958</v>
      </c>
      <c r="C84" s="1" t="s">
        <v>577</v>
      </c>
      <c r="D84" s="1" t="s">
        <v>578</v>
      </c>
      <c r="E84" s="38" t="s">
        <v>28</v>
      </c>
      <c r="H84" s="72" t="str">
        <f t="shared" si="7"/>
        <v>№. І.П.рік нар.  Країна</v>
      </c>
      <c r="I84" s="54" t="str">
        <f t="shared" si="8"/>
        <v>ЧАС</v>
      </c>
    </row>
    <row r="85" spans="1:9" ht="12.75">
      <c r="A85" s="19">
        <v>1</v>
      </c>
      <c r="B85" s="60" t="s">
        <v>1296</v>
      </c>
      <c r="C85" s="60" t="s">
        <v>1433</v>
      </c>
      <c r="D85" s="60"/>
      <c r="E85" s="54">
        <v>1.2959606481481483</v>
      </c>
      <c r="H85" s="72" t="str">
        <f t="shared" si="7"/>
        <v>1. Роберто Суаресi (1988)  Португалiя</v>
      </c>
      <c r="I85" s="54">
        <f t="shared" si="8"/>
        <v>1.2959606481481483</v>
      </c>
    </row>
    <row r="86" spans="1:9" ht="12.75">
      <c r="A86" s="1">
        <v>2</v>
      </c>
      <c r="B86" s="1" t="s">
        <v>1361</v>
      </c>
      <c r="C86" s="1" t="s">
        <v>1434</v>
      </c>
      <c r="D86" s="1"/>
      <c r="E86" s="28">
        <v>1.4542824074074074</v>
      </c>
      <c r="H86" s="72" t="str">
        <f t="shared" si="7"/>
        <v>2. Ненад Єдєв (1988)  Болгарiя</v>
      </c>
      <c r="I86" s="54">
        <f t="shared" si="8"/>
        <v>1.4542824074074074</v>
      </c>
    </row>
    <row r="87" spans="1:9" ht="12.75">
      <c r="A87" s="19">
        <v>3</v>
      </c>
      <c r="B87" s="2" t="s">
        <v>1357</v>
      </c>
      <c r="C87" s="1" t="s">
        <v>1428</v>
      </c>
      <c r="D87" s="28"/>
      <c r="E87" s="28">
        <v>1.4551157407407407</v>
      </c>
      <c r="H87" s="72" t="str">
        <f t="shared" si="7"/>
        <v>3. Марек Гульовськи (1984)  Македонiя</v>
      </c>
      <c r="I87" s="54">
        <f t="shared" si="8"/>
        <v>1.4551157407407407</v>
      </c>
    </row>
    <row r="88" spans="1:9" ht="12.75">
      <c r="A88" s="19">
        <v>4</v>
      </c>
      <c r="B88" s="21" t="s">
        <v>1343</v>
      </c>
      <c r="C88" s="21" t="s">
        <v>596</v>
      </c>
      <c r="D88" s="38"/>
      <c r="E88" s="28">
        <v>1.4584722222222222</v>
      </c>
      <c r="H88" s="72" t="str">
        <f t="shared" si="7"/>
        <v>4. Мартін Кірмах (1985)  Словаччина</v>
      </c>
      <c r="I88" s="54">
        <f t="shared" si="8"/>
        <v>1.4584722222222222</v>
      </c>
    </row>
    <row r="89" spans="1:9" ht="12.75">
      <c r="A89" s="1">
        <v>5</v>
      </c>
      <c r="B89" s="2" t="s">
        <v>1364</v>
      </c>
      <c r="C89" s="2" t="s">
        <v>1435</v>
      </c>
      <c r="D89" s="1"/>
      <c r="E89" s="28">
        <v>1.4738078703703703</v>
      </c>
      <c r="H89" s="72" t="str">
        <f t="shared" si="7"/>
        <v>5. Дайнi Ляяма (1988)  Естонiя</v>
      </c>
      <c r="I89" s="54">
        <f t="shared" si="8"/>
        <v>1.4738078703703703</v>
      </c>
    </row>
    <row r="90" spans="1:9" ht="12.75">
      <c r="A90" s="19">
        <v>6</v>
      </c>
      <c r="B90" s="1" t="s">
        <v>1407</v>
      </c>
      <c r="C90" s="1" t="s">
        <v>1437</v>
      </c>
      <c r="D90" s="28"/>
      <c r="E90" s="28">
        <v>1.513275462962963</v>
      </c>
      <c r="H90" s="72" t="str">
        <f t="shared" si="7"/>
        <v>6. Тiмуш Сейдж (1987)  Данiя</v>
      </c>
      <c r="I90" s="54">
        <f t="shared" si="8"/>
        <v>1.513275462962963</v>
      </c>
    </row>
    <row r="91" spans="1:9" ht="12.75">
      <c r="A91" s="19">
        <v>7</v>
      </c>
      <c r="B91" s="20" t="s">
        <v>1385</v>
      </c>
      <c r="C91" s="19" t="s">
        <v>1438</v>
      </c>
      <c r="D91" s="28"/>
      <c r="E91" s="28">
        <v>1.5494212962962963</v>
      </c>
      <c r="H91" s="72" t="str">
        <f t="shared" si="7"/>
        <v>7. Армен Сiлан (1988)  Албанiя</v>
      </c>
      <c r="I91" s="54">
        <f t="shared" si="8"/>
        <v>1.5494212962962963</v>
      </c>
    </row>
    <row r="92" spans="1:9" ht="12.75">
      <c r="A92" s="1">
        <v>8</v>
      </c>
      <c r="B92" s="21" t="s">
        <v>1422</v>
      </c>
      <c r="C92" s="19" t="s">
        <v>1031</v>
      </c>
      <c r="D92" s="21"/>
      <c r="E92" s="28">
        <v>1.5833912037037037</v>
      </c>
      <c r="H92" s="72" t="str">
        <f t="shared" si="7"/>
        <v>8. Маркус Рiрер (1988)  Люксембург</v>
      </c>
      <c r="I92" s="54">
        <f t="shared" si="8"/>
        <v>1.5833912037037037</v>
      </c>
    </row>
    <row r="93" spans="8:9" ht="12.75">
      <c r="H93" s="72" t="str">
        <f t="shared" si="7"/>
        <v>.   </v>
      </c>
      <c r="I93" s="54"/>
    </row>
    <row r="94" spans="1:9" ht="12.75">
      <c r="A94" s="126" t="s">
        <v>1442</v>
      </c>
      <c r="B94" s="126"/>
      <c r="C94" s="126"/>
      <c r="H94" s="72" t="str">
        <f t="shared" si="7"/>
        <v>Забіг № 3 (23 вересня, пт, 18:00). Данiя (Копенгаген).   </v>
      </c>
      <c r="I94" s="54"/>
    </row>
    <row r="95" spans="1:9" ht="12.75">
      <c r="A95" s="1" t="s">
        <v>940</v>
      </c>
      <c r="B95" s="1" t="s">
        <v>958</v>
      </c>
      <c r="C95" s="1" t="s">
        <v>577</v>
      </c>
      <c r="D95" s="1" t="s">
        <v>578</v>
      </c>
      <c r="E95" s="38" t="s">
        <v>28</v>
      </c>
      <c r="H95" s="72" t="str">
        <f t="shared" si="7"/>
        <v>№. І.П.рік нар.  Країна</v>
      </c>
      <c r="I95" s="54" t="str">
        <f t="shared" si="8"/>
        <v>ЧАС</v>
      </c>
    </row>
    <row r="96" spans="1:9" ht="12.75">
      <c r="A96" s="19">
        <v>1</v>
      </c>
      <c r="B96" s="38" t="s">
        <v>1360</v>
      </c>
      <c r="C96" s="60" t="s">
        <v>1434</v>
      </c>
      <c r="D96" s="60"/>
      <c r="E96" s="54">
        <v>1.3375925925925927</v>
      </c>
      <c r="H96" s="72" t="str">
        <f t="shared" si="7"/>
        <v>1. Iван Голосков (1985)  Болгарiя</v>
      </c>
      <c r="I96" s="54">
        <f t="shared" si="8"/>
        <v>1.3375925925925927</v>
      </c>
    </row>
    <row r="97" spans="1:9" ht="12.75">
      <c r="A97" s="1">
        <v>2</v>
      </c>
      <c r="B97" s="21" t="s">
        <v>1301</v>
      </c>
      <c r="C97" s="19" t="s">
        <v>1440</v>
      </c>
      <c r="D97" s="60"/>
      <c r="E97" s="28">
        <v>1.4008217592592593</v>
      </c>
      <c r="H97" s="72" t="str">
        <f t="shared" si="7"/>
        <v>2. Фернандо Южбара (1987)  Iспанiя</v>
      </c>
      <c r="I97" s="54">
        <f t="shared" si="8"/>
        <v>1.4008217592592593</v>
      </c>
    </row>
    <row r="98" spans="1:9" ht="12.75">
      <c r="A98" s="19">
        <v>3</v>
      </c>
      <c r="B98" s="20" t="s">
        <v>1402</v>
      </c>
      <c r="C98" s="19" t="s">
        <v>1431</v>
      </c>
      <c r="D98" s="54"/>
      <c r="E98" s="28">
        <v>1.4285416666666666</v>
      </c>
      <c r="H98" s="72" t="str">
        <f t="shared" si="7"/>
        <v>3. Iраклiй Сарiя (1987)  Грузiя</v>
      </c>
      <c r="I98" s="54">
        <f t="shared" si="8"/>
        <v>1.4285416666666666</v>
      </c>
    </row>
    <row r="99" spans="1:9" ht="12.75">
      <c r="A99" s="19">
        <v>4</v>
      </c>
      <c r="B99" s="2" t="s">
        <v>1416</v>
      </c>
      <c r="C99" s="2" t="s">
        <v>1029</v>
      </c>
      <c r="D99" s="2"/>
      <c r="E99" s="28">
        <v>1.4301273148148148</v>
      </c>
      <c r="H99" s="72" t="str">
        <f t="shared" si="7"/>
        <v>4. Тiмур Гасанов (1988)  Азербайджан</v>
      </c>
      <c r="I99" s="54">
        <f t="shared" si="8"/>
        <v>1.4301273148148148</v>
      </c>
    </row>
    <row r="100" spans="1:9" ht="12.75">
      <c r="A100" s="1">
        <v>5</v>
      </c>
      <c r="B100" s="1" t="s">
        <v>1334</v>
      </c>
      <c r="C100" s="1" t="s">
        <v>1441</v>
      </c>
      <c r="D100" s="28"/>
      <c r="E100" s="28">
        <v>1.5376273148148147</v>
      </c>
      <c r="H100" s="72" t="str">
        <f t="shared" si="7"/>
        <v>5. Горан Стяунович (1982)  Чорногорiя</v>
      </c>
      <c r="I100" s="54">
        <f t="shared" si="8"/>
        <v>1.5376273148148147</v>
      </c>
    </row>
    <row r="101" spans="1:9" ht="12.75">
      <c r="A101" s="19">
        <v>6</v>
      </c>
      <c r="B101" s="19" t="s">
        <v>1362</v>
      </c>
      <c r="C101" s="1" t="s">
        <v>1435</v>
      </c>
      <c r="D101" s="38"/>
      <c r="E101" s="28">
        <v>1.5396296296296297</v>
      </c>
      <c r="H101" s="72" t="str">
        <f t="shared" si="7"/>
        <v>6. Андрюс Паалстінес (1982)  Естонiя</v>
      </c>
      <c r="I101" s="54">
        <f t="shared" si="8"/>
        <v>1.5396296296296297</v>
      </c>
    </row>
    <row r="102" spans="1:9" ht="12.75">
      <c r="A102" s="19">
        <v>7</v>
      </c>
      <c r="B102" s="1" t="s">
        <v>1366</v>
      </c>
      <c r="C102" s="2" t="s">
        <v>1436</v>
      </c>
      <c r="D102" s="28"/>
      <c r="E102" s="28">
        <v>1.5494212962962963</v>
      </c>
      <c r="H102" s="72" t="str">
        <f t="shared" si="7"/>
        <v>7. Андрiй Кропiну (1987)  Молдавiя</v>
      </c>
      <c r="I102" s="54">
        <f t="shared" si="8"/>
        <v>1.5494212962962963</v>
      </c>
    </row>
    <row r="103" spans="1:9" ht="12.75">
      <c r="A103" s="1">
        <v>8</v>
      </c>
      <c r="B103" s="20" t="s">
        <v>1409</v>
      </c>
      <c r="C103" s="2" t="s">
        <v>1437</v>
      </c>
      <c r="D103" s="1"/>
      <c r="E103" s="28">
        <v>1.5563657407407405</v>
      </c>
      <c r="H103" s="72" t="str">
        <f t="shared" si="7"/>
        <v>8. Томаш Будхельд (1988)  Данiя</v>
      </c>
      <c r="I103" s="54">
        <f t="shared" si="8"/>
        <v>1.5563657407407405</v>
      </c>
    </row>
    <row r="104" spans="8:9" ht="12.75">
      <c r="H104" s="72" t="str">
        <f t="shared" si="7"/>
        <v>.   </v>
      </c>
      <c r="I104" s="54"/>
    </row>
    <row r="105" spans="1:9" ht="12.75">
      <c r="A105" s="126" t="s">
        <v>1446</v>
      </c>
      <c r="B105" s="126"/>
      <c r="C105" s="126"/>
      <c r="H105" s="72" t="str">
        <f t="shared" si="7"/>
        <v>Забіг № 4 (24 вересня, сб, 15:00). Росiя (Москва).   </v>
      </c>
      <c r="I105" s="54"/>
    </row>
    <row r="106" spans="1:9" ht="12.75">
      <c r="A106" s="1" t="s">
        <v>940</v>
      </c>
      <c r="B106" s="1" t="s">
        <v>958</v>
      </c>
      <c r="C106" s="1" t="s">
        <v>577</v>
      </c>
      <c r="D106" s="1" t="s">
        <v>578</v>
      </c>
      <c r="E106" s="38" t="s">
        <v>28</v>
      </c>
      <c r="H106" s="72" t="str">
        <f t="shared" si="7"/>
        <v>№. І.П.рік нар.  Країна</v>
      </c>
      <c r="I106" s="54" t="str">
        <f t="shared" si="8"/>
        <v>ЧАС</v>
      </c>
    </row>
    <row r="107" spans="1:9" ht="12.75">
      <c r="A107" s="19">
        <v>1</v>
      </c>
      <c r="B107" s="60" t="s">
        <v>1345</v>
      </c>
      <c r="C107" s="60" t="s">
        <v>1444</v>
      </c>
      <c r="D107" s="60"/>
      <c r="E107" s="54">
        <v>1.3612384259259258</v>
      </c>
      <c r="H107" s="72" t="str">
        <f t="shared" si="7"/>
        <v>1. Сергiй Бiлов (1988)  Росiя</v>
      </c>
      <c r="I107" s="54">
        <f t="shared" si="8"/>
        <v>1.3612384259259258</v>
      </c>
    </row>
    <row r="108" spans="1:9" ht="12.75">
      <c r="A108" s="1">
        <v>2</v>
      </c>
      <c r="B108" s="21" t="s">
        <v>1309</v>
      </c>
      <c r="C108" s="19" t="s">
        <v>1443</v>
      </c>
      <c r="D108" s="60"/>
      <c r="E108" s="28">
        <v>1.3640046296296298</v>
      </c>
      <c r="H108" s="72" t="str">
        <f t="shared" si="7"/>
        <v>2. Марко Лiанiч (1987)  Хорватiя</v>
      </c>
      <c r="I108" s="54">
        <f t="shared" si="8"/>
        <v>1.3640046296296298</v>
      </c>
    </row>
    <row r="109" spans="1:9" ht="12.75">
      <c r="A109" s="19">
        <v>3</v>
      </c>
      <c r="B109" s="19" t="s">
        <v>1367</v>
      </c>
      <c r="C109" s="2" t="s">
        <v>1436</v>
      </c>
      <c r="D109" s="38"/>
      <c r="E109" s="28">
        <v>1.4480324074074076</v>
      </c>
      <c r="H109" s="72" t="str">
        <f t="shared" si="7"/>
        <v>3. Геннадiй Горан (1988)  Молдавiя</v>
      </c>
      <c r="I109" s="54">
        <f t="shared" si="8"/>
        <v>1.4480324074074076</v>
      </c>
    </row>
    <row r="110" spans="1:9" ht="12.75">
      <c r="A110" s="19">
        <v>4</v>
      </c>
      <c r="B110" s="2" t="s">
        <v>1382</v>
      </c>
      <c r="C110" s="2" t="s">
        <v>1445</v>
      </c>
      <c r="D110" s="2"/>
      <c r="E110" s="28">
        <v>1.5042824074074073</v>
      </c>
      <c r="H110" s="72" t="str">
        <f t="shared" si="7"/>
        <v>4. Аксус Матанакiс (1988)  Грецiя</v>
      </c>
      <c r="I110" s="54">
        <f t="shared" si="8"/>
        <v>1.5042824074074073</v>
      </c>
    </row>
    <row r="111" spans="1:9" ht="12.75">
      <c r="A111" s="1">
        <v>5</v>
      </c>
      <c r="B111" s="20" t="s">
        <v>1417</v>
      </c>
      <c r="C111" s="19" t="s">
        <v>1029</v>
      </c>
      <c r="D111" s="54"/>
      <c r="E111" s="28">
        <v>1.5417013888888889</v>
      </c>
      <c r="H111" s="72" t="str">
        <f t="shared" si="7"/>
        <v>5. Карiм Мєков (1988)  Азербайджан</v>
      </c>
      <c r="I111" s="54">
        <f t="shared" si="8"/>
        <v>1.5417013888888889</v>
      </c>
    </row>
    <row r="112" spans="1:9" ht="12.75">
      <c r="A112" s="19">
        <v>6</v>
      </c>
      <c r="B112" s="1" t="s">
        <v>1408</v>
      </c>
      <c r="C112" s="2" t="s">
        <v>1437</v>
      </c>
      <c r="D112" s="28"/>
      <c r="E112" s="28">
        <v>1.5911689814814816</v>
      </c>
      <c r="H112" s="72" t="str">
        <f t="shared" si="7"/>
        <v>6. Михаель Кулшаєр (1986)  Данiя</v>
      </c>
      <c r="I112" s="54">
        <f t="shared" si="8"/>
        <v>1.5911689814814816</v>
      </c>
    </row>
    <row r="113" spans="1:9" ht="12.75">
      <c r="A113" s="19">
        <v>7</v>
      </c>
      <c r="B113" s="20" t="s">
        <v>1424</v>
      </c>
      <c r="C113" s="1" t="s">
        <v>1033</v>
      </c>
      <c r="D113" s="28"/>
      <c r="E113" s="28">
        <v>1.5987962962962963</v>
      </c>
      <c r="H113" s="72" t="str">
        <f t="shared" si="7"/>
        <v>7. Антоніо Полізіно (1982)  Сан-Маріно</v>
      </c>
      <c r="I113" s="54">
        <f t="shared" si="8"/>
        <v>1.5987962962962963</v>
      </c>
    </row>
    <row r="114" spans="1:9" ht="12.75">
      <c r="A114" s="1">
        <v>8</v>
      </c>
      <c r="B114" s="20" t="s">
        <v>1423</v>
      </c>
      <c r="C114" s="2" t="s">
        <v>1032</v>
      </c>
      <c r="D114" s="1"/>
      <c r="E114" s="28">
        <v>1.6112384259259258</v>
      </c>
      <c r="H114" s="72" t="str">
        <f t="shared" si="7"/>
        <v>8. Томаш Міф (1982)  Ліхтенштейн</v>
      </c>
      <c r="I114" s="54">
        <f t="shared" si="8"/>
        <v>1.6112384259259258</v>
      </c>
    </row>
    <row r="115" spans="8:9" ht="12.75">
      <c r="H115" s="72" t="str">
        <f t="shared" si="7"/>
        <v>.   </v>
      </c>
      <c r="I115" s="54"/>
    </row>
    <row r="116" spans="1:9" ht="12.75">
      <c r="A116" s="126" t="s">
        <v>1454</v>
      </c>
      <c r="B116" s="126"/>
      <c r="C116" s="126"/>
      <c r="H116" s="72" t="str">
        <f t="shared" si="7"/>
        <v>Забіг № 5 (24 вересня, сб, 16:00). Швецiя (Стокгольм).   </v>
      </c>
      <c r="I116" s="54"/>
    </row>
    <row r="117" spans="1:9" ht="12.75">
      <c r="A117" s="1" t="s">
        <v>940</v>
      </c>
      <c r="B117" s="1" t="s">
        <v>958</v>
      </c>
      <c r="C117" s="1" t="s">
        <v>577</v>
      </c>
      <c r="D117" s="1" t="s">
        <v>578</v>
      </c>
      <c r="E117" s="38" t="s">
        <v>28</v>
      </c>
      <c r="H117" s="72" t="str">
        <f t="shared" si="7"/>
        <v>№. І.П.рік нар.  Країна</v>
      </c>
      <c r="I117" s="54" t="str">
        <f t="shared" si="8"/>
        <v>ЧАС</v>
      </c>
    </row>
    <row r="118" spans="1:9" ht="12.75">
      <c r="A118" s="19">
        <v>1</v>
      </c>
      <c r="B118" s="38" t="s">
        <v>1313</v>
      </c>
      <c r="C118" s="60" t="s">
        <v>1447</v>
      </c>
      <c r="D118" s="60"/>
      <c r="E118" s="54">
        <v>1.40625</v>
      </c>
      <c r="H118" s="72" t="str">
        <f t="shared" si="7"/>
        <v>1. Фабiо Лiвардi (1987)  Iталiя</v>
      </c>
      <c r="I118" s="54">
        <f t="shared" si="8"/>
        <v>1.40625</v>
      </c>
    </row>
    <row r="119" spans="1:9" ht="12.75">
      <c r="A119" s="1">
        <v>2</v>
      </c>
      <c r="B119" s="19" t="s">
        <v>1355</v>
      </c>
      <c r="C119" s="2" t="s">
        <v>1017</v>
      </c>
      <c r="D119" s="19"/>
      <c r="E119" s="28">
        <v>1.4661805555555556</v>
      </c>
      <c r="H119" s="72" t="str">
        <f t="shared" si="7"/>
        <v>2. Константiн Кукiс (1988)  Литва </v>
      </c>
      <c r="I119" s="54">
        <f t="shared" si="8"/>
        <v>1.4661805555555556</v>
      </c>
    </row>
    <row r="120" spans="1:9" ht="12.75">
      <c r="A120" s="19">
        <v>3</v>
      </c>
      <c r="B120" s="20" t="s">
        <v>1410</v>
      </c>
      <c r="C120" s="19" t="s">
        <v>1448</v>
      </c>
      <c r="D120" s="54"/>
      <c r="E120" s="28">
        <v>1.477199074074074</v>
      </c>
      <c r="H120" s="72" t="str">
        <f t="shared" si="7"/>
        <v>3. Ашот Мхарян (1988)  Вiрменiя</v>
      </c>
      <c r="I120" s="54">
        <f t="shared" si="8"/>
        <v>1.477199074074074</v>
      </c>
    </row>
    <row r="121" spans="1:9" ht="12.75">
      <c r="A121" s="19">
        <v>4</v>
      </c>
      <c r="B121" s="1" t="s">
        <v>1390</v>
      </c>
      <c r="C121" s="1" t="s">
        <v>1453</v>
      </c>
      <c r="D121" s="28"/>
      <c r="E121" s="28">
        <v>1.4897222222222222</v>
      </c>
      <c r="H121" s="72" t="str">
        <f t="shared" si="7"/>
        <v>4. Томаш Герiссон (1988)  Швецiя</v>
      </c>
      <c r="I121" s="54">
        <f t="shared" si="8"/>
        <v>1.4897222222222222</v>
      </c>
    </row>
    <row r="122" spans="1:9" ht="12.75">
      <c r="A122" s="1">
        <v>5</v>
      </c>
      <c r="B122" s="100" t="s">
        <v>1412</v>
      </c>
      <c r="C122" s="1" t="s">
        <v>1449</v>
      </c>
      <c r="D122" s="38"/>
      <c r="E122" s="28">
        <v>1.4898032407407407</v>
      </c>
      <c r="H122" s="72" t="str">
        <f t="shared" si="7"/>
        <v>5. Харім Кульпані (1984)  Iзраїль</v>
      </c>
      <c r="I122" s="54">
        <f t="shared" si="8"/>
        <v>1.4898032407407407</v>
      </c>
    </row>
    <row r="123" spans="1:9" ht="12.75">
      <c r="A123" s="19">
        <v>6</v>
      </c>
      <c r="B123" s="1" t="s">
        <v>1405</v>
      </c>
      <c r="C123" s="2" t="s">
        <v>1450</v>
      </c>
      <c r="D123" s="28"/>
      <c r="E123" s="28">
        <v>1.491099537037037</v>
      </c>
      <c r="H123" s="72" t="str">
        <f t="shared" si="7"/>
        <v>6. Мiклен Йєнус (1988)  Австрiя</v>
      </c>
      <c r="I123" s="54">
        <f t="shared" si="8"/>
        <v>1.491099537037037</v>
      </c>
    </row>
    <row r="124" spans="1:9" ht="12.75">
      <c r="A124" s="19">
        <v>7</v>
      </c>
      <c r="B124" s="20" t="s">
        <v>1399</v>
      </c>
      <c r="C124" s="2" t="s">
        <v>1452</v>
      </c>
      <c r="D124" s="1"/>
      <c r="E124" s="28">
        <v>1.5313888888888887</v>
      </c>
      <c r="H124" s="72" t="str">
        <f t="shared" si="7"/>
        <v>7. Рональд Делтафлаєр (1986)  Бельгiя</v>
      </c>
      <c r="I124" s="54">
        <f t="shared" si="8"/>
        <v>1.5313888888888887</v>
      </c>
    </row>
    <row r="125" spans="1:9" ht="12.75">
      <c r="A125" s="1">
        <v>8</v>
      </c>
      <c r="B125" s="2" t="s">
        <v>1379</v>
      </c>
      <c r="C125" s="2" t="s">
        <v>1451</v>
      </c>
      <c r="D125" s="2"/>
      <c r="E125" s="28">
        <v>1.5695833333333333</v>
      </c>
      <c r="H125" s="72" t="str">
        <f t="shared" si="7"/>
        <v>8. Володимир Крупевiч (1987)  Бiлорусiя</v>
      </c>
      <c r="I125" s="54">
        <f t="shared" si="8"/>
        <v>1.5695833333333333</v>
      </c>
    </row>
    <row r="126" spans="8:9" ht="12.75">
      <c r="H126" s="72" t="str">
        <f t="shared" si="7"/>
        <v>.   </v>
      </c>
      <c r="I126" s="54"/>
    </row>
    <row r="127" spans="1:9" ht="12.75">
      <c r="A127" s="126" t="s">
        <v>1459</v>
      </c>
      <c r="B127" s="126"/>
      <c r="C127" s="126"/>
      <c r="H127" s="72" t="str">
        <f t="shared" si="7"/>
        <v>Забіг № 6 (24 вересня, сб, 17:00). Бельгiя (Брюссель).   </v>
      </c>
      <c r="I127" s="54"/>
    </row>
    <row r="128" spans="1:9" ht="12.75">
      <c r="A128" s="1" t="s">
        <v>940</v>
      </c>
      <c r="B128" s="1" t="s">
        <v>958</v>
      </c>
      <c r="C128" s="1" t="s">
        <v>577</v>
      </c>
      <c r="D128" s="1" t="s">
        <v>578</v>
      </c>
      <c r="E128" s="38" t="s">
        <v>28</v>
      </c>
      <c r="H128" s="72" t="str">
        <f t="shared" si="7"/>
        <v>№. І.П.рік нар.  Країна</v>
      </c>
      <c r="I128" s="54" t="str">
        <f t="shared" si="8"/>
        <v>ЧАС</v>
      </c>
    </row>
    <row r="129" spans="1:9" ht="12.75">
      <c r="A129" s="19">
        <v>1</v>
      </c>
      <c r="B129" s="38" t="s">
        <v>1317</v>
      </c>
      <c r="C129" s="60" t="s">
        <v>589</v>
      </c>
      <c r="D129" s="60"/>
      <c r="E129" s="54">
        <v>1.3917939814814815</v>
      </c>
      <c r="H129" s="72" t="str">
        <f t="shared" si="7"/>
        <v>1. Карел Штанек (1988)  Польща</v>
      </c>
      <c r="I129" s="54">
        <f t="shared" si="8"/>
        <v>1.3917939814814815</v>
      </c>
    </row>
    <row r="130" spans="1:9" ht="12.75">
      <c r="A130" s="1">
        <v>2</v>
      </c>
      <c r="B130" s="19" t="s">
        <v>1370</v>
      </c>
      <c r="C130" s="19" t="s">
        <v>1455</v>
      </c>
      <c r="D130" s="19"/>
      <c r="E130" s="28">
        <v>1.3938657407407407</v>
      </c>
      <c r="H130" s="72" t="str">
        <f t="shared" si="7"/>
        <v>2. Деннi Хартiн (1988)  Iрландiя</v>
      </c>
      <c r="I130" s="54">
        <f t="shared" si="8"/>
        <v>1.3938657407407407</v>
      </c>
    </row>
    <row r="131" spans="1:9" ht="12.75">
      <c r="A131" s="19">
        <v>3</v>
      </c>
      <c r="B131" s="19" t="s">
        <v>1411</v>
      </c>
      <c r="C131" s="19" t="s">
        <v>1448</v>
      </c>
      <c r="D131" s="38"/>
      <c r="E131" s="28">
        <v>1.4299421296296295</v>
      </c>
      <c r="H131" s="72" t="str">
        <f t="shared" si="7"/>
        <v>3. Саркiз Озарян (1987)  Вiрменiя</v>
      </c>
      <c r="I131" s="54">
        <f t="shared" si="8"/>
        <v>1.4299421296296295</v>
      </c>
    </row>
    <row r="132" spans="1:9" ht="12.75">
      <c r="A132" s="19">
        <v>4</v>
      </c>
      <c r="B132" s="20" t="s">
        <v>1394</v>
      </c>
      <c r="C132" s="19" t="s">
        <v>1457</v>
      </c>
      <c r="D132" s="54"/>
      <c r="E132" s="28">
        <v>1.4738194444444446</v>
      </c>
      <c r="H132" s="72" t="str">
        <f t="shared" si="7"/>
        <v>4. Ярi Кулiяонi (1988)  Фiнляндiя</v>
      </c>
      <c r="I132" s="54">
        <f t="shared" si="8"/>
        <v>1.4738194444444446</v>
      </c>
    </row>
    <row r="133" spans="1:9" ht="12.75">
      <c r="A133" s="1">
        <v>5</v>
      </c>
      <c r="B133" s="1" t="s">
        <v>1420</v>
      </c>
      <c r="C133" s="2" t="s">
        <v>1030</v>
      </c>
      <c r="D133" s="1"/>
      <c r="E133" s="28">
        <v>1.5731018518518518</v>
      </c>
      <c r="H133" s="72" t="str">
        <f t="shared" si="7"/>
        <v>5. Мiлан Акобсен (1988)  Фарери</v>
      </c>
      <c r="I133" s="54">
        <f t="shared" si="8"/>
        <v>1.5731018518518518</v>
      </c>
    </row>
    <row r="134" spans="1:9" ht="12.75">
      <c r="A134" s="19">
        <v>6</v>
      </c>
      <c r="B134" s="1" t="s">
        <v>1397</v>
      </c>
      <c r="C134" s="1" t="s">
        <v>1458</v>
      </c>
      <c r="D134" s="28"/>
      <c r="E134" s="28">
        <v>1.580486111111111</v>
      </c>
      <c r="H134" s="72" t="str">
        <f t="shared" si="7"/>
        <v>6. Тiм Ховшель (1986)  Швейцарiя</v>
      </c>
      <c r="I134" s="54">
        <f t="shared" si="8"/>
        <v>1.580486111111111</v>
      </c>
    </row>
    <row r="135" spans="1:9" ht="12.75">
      <c r="A135" s="19">
        <v>7</v>
      </c>
      <c r="B135" t="s">
        <v>1400</v>
      </c>
      <c r="C135" s="2" t="s">
        <v>1452</v>
      </c>
      <c r="D135" s="28"/>
      <c r="E135" s="28">
        <v>1.597337962962963</v>
      </c>
      <c r="H135" s="72" t="str">
        <f t="shared" si="7"/>
        <v>7. Ян Самтерд (1987)  Бельгiя</v>
      </c>
      <c r="I135" s="54">
        <f t="shared" si="8"/>
        <v>1.597337962962963</v>
      </c>
    </row>
    <row r="136" spans="1:9" ht="12.75">
      <c r="A136" s="1">
        <v>8</v>
      </c>
      <c r="B136" s="2" t="s">
        <v>1414</v>
      </c>
      <c r="C136" s="2" t="s">
        <v>1027</v>
      </c>
      <c r="D136" s="2"/>
      <c r="E136" s="28">
        <v>1.6008333333333333</v>
      </c>
      <c r="H136" s="72" t="str">
        <f t="shared" si="7"/>
        <v>8. Онго Полянс (1982)  Мальта</v>
      </c>
      <c r="I136" s="54">
        <f t="shared" si="8"/>
        <v>1.6008333333333333</v>
      </c>
    </row>
    <row r="137" spans="8:9" ht="12.75">
      <c r="H137" s="72" t="str">
        <f t="shared" si="7"/>
        <v>.   </v>
      </c>
      <c r="I137" s="54"/>
    </row>
    <row r="138" spans="1:9" ht="12.75">
      <c r="A138" s="126" t="s">
        <v>1464</v>
      </c>
      <c r="B138" s="126"/>
      <c r="C138" s="126"/>
      <c r="H138" s="72" t="str">
        <f t="shared" si="7"/>
        <v>Забіг № 7 (24 вересня, сб, 17:00). Австрiя (Вiдень).   </v>
      </c>
      <c r="I138" s="54"/>
    </row>
    <row r="139" spans="1:9" ht="12.75">
      <c r="A139" s="1" t="s">
        <v>940</v>
      </c>
      <c r="B139" s="1" t="s">
        <v>958</v>
      </c>
      <c r="C139" s="1" t="s">
        <v>577</v>
      </c>
      <c r="D139" s="1" t="s">
        <v>578</v>
      </c>
      <c r="E139" s="38" t="s">
        <v>28</v>
      </c>
      <c r="H139" s="72" t="str">
        <f aca="true" t="shared" si="9" ref="H139:H147">CONCATENATE(A139,". ",B139,"  ",C139)</f>
        <v>№. І.П.рік нар.  Країна</v>
      </c>
      <c r="I139" s="54" t="str">
        <f aca="true" t="shared" si="10" ref="I139:I147">E139</f>
        <v>ЧАС</v>
      </c>
    </row>
    <row r="140" spans="1:9" ht="12.75">
      <c r="A140" s="19">
        <v>1</v>
      </c>
      <c r="B140" s="38" t="s">
        <v>1339</v>
      </c>
      <c r="C140" s="60" t="s">
        <v>1461</v>
      </c>
      <c r="D140" s="60"/>
      <c r="E140" s="54">
        <v>1.348726851851852</v>
      </c>
      <c r="H140" s="72" t="str">
        <f t="shared" si="9"/>
        <v>1. Мірча Анденеску (1986)  Румунiя</v>
      </c>
      <c r="I140" s="54">
        <f t="shared" si="10"/>
        <v>1.348726851851852</v>
      </c>
    </row>
    <row r="141" spans="1:9" ht="12.75">
      <c r="A141" s="1">
        <v>2</v>
      </c>
      <c r="B141" s="101" t="s">
        <v>1413</v>
      </c>
      <c r="C141" s="19" t="s">
        <v>1449</v>
      </c>
      <c r="D141" s="54"/>
      <c r="E141" s="28">
        <v>1.4597453703703704</v>
      </c>
      <c r="H141" s="72" t="str">
        <f t="shared" si="9"/>
        <v>2. Йоссі Лупаріюн (1983)  Iзраїль</v>
      </c>
      <c r="I141" s="54">
        <f t="shared" si="10"/>
        <v>1.4597453703703704</v>
      </c>
    </row>
    <row r="142" spans="1:9" ht="12.75">
      <c r="A142" s="19">
        <v>3</v>
      </c>
      <c r="B142" s="20" t="s">
        <v>1415</v>
      </c>
      <c r="C142" s="2" t="s">
        <v>1027</v>
      </c>
      <c r="D142" s="1"/>
      <c r="E142" s="28">
        <v>1.490162037037037</v>
      </c>
      <c r="H142" s="72" t="str">
        <f t="shared" si="9"/>
        <v>3. Іадор Фурлет (1985)  Мальта</v>
      </c>
      <c r="I142" s="54">
        <f t="shared" si="10"/>
        <v>1.490162037037037</v>
      </c>
    </row>
    <row r="143" spans="1:9" ht="12.75">
      <c r="A143" s="19">
        <v>4</v>
      </c>
      <c r="B143" s="1" t="s">
        <v>1387</v>
      </c>
      <c r="C143" s="2" t="s">
        <v>1456</v>
      </c>
      <c r="D143" s="28"/>
      <c r="E143" s="28">
        <v>1.5166319444444445</v>
      </c>
      <c r="H143" s="72" t="str">
        <f t="shared" si="9"/>
        <v>4. Олексіас Датiнс (1988)  Кипр</v>
      </c>
      <c r="I143" s="54">
        <f t="shared" si="10"/>
        <v>1.5166319444444445</v>
      </c>
    </row>
    <row r="144" spans="1:9" ht="12.75">
      <c r="A144" s="1">
        <v>5</v>
      </c>
      <c r="B144" s="1" t="s">
        <v>1421</v>
      </c>
      <c r="C144" s="1" t="s">
        <v>1030</v>
      </c>
      <c r="D144" s="28"/>
      <c r="E144" s="28">
        <v>1.5416898148148148</v>
      </c>
      <c r="H144" s="72" t="str">
        <f t="shared" si="9"/>
        <v>5. Сiльвен Педерсон (1987)  Фарери</v>
      </c>
      <c r="I144" s="54">
        <f t="shared" si="10"/>
        <v>1.5416898148148148</v>
      </c>
    </row>
    <row r="145" spans="1:9" ht="12.75">
      <c r="A145" s="19">
        <v>6</v>
      </c>
      <c r="B145" t="s">
        <v>1393</v>
      </c>
      <c r="C145" s="2" t="s">
        <v>1457</v>
      </c>
      <c r="D145" s="2"/>
      <c r="E145" s="28">
        <v>1.5573958333333333</v>
      </c>
      <c r="H145" s="72" t="str">
        <f t="shared" si="9"/>
        <v>6. Штак Лазiя (1988)  Фiнляндiя</v>
      </c>
      <c r="I145" s="54">
        <f t="shared" si="10"/>
        <v>1.5573958333333333</v>
      </c>
    </row>
    <row r="146" spans="1:9" ht="12.75">
      <c r="A146" s="19">
        <v>7</v>
      </c>
      <c r="B146" s="1" t="s">
        <v>1418</v>
      </c>
      <c r="C146" s="19" t="s">
        <v>1460</v>
      </c>
      <c r="D146" s="19"/>
      <c r="E146" s="28">
        <v>1.559247685185185</v>
      </c>
      <c r="H146" s="72" t="str">
        <f t="shared" si="9"/>
        <v>7. Крістіан Дубакрайтінссон (1984)  Iсландiя</v>
      </c>
      <c r="I146" s="54">
        <f t="shared" si="10"/>
        <v>1.559247685185185</v>
      </c>
    </row>
    <row r="147" spans="1:9" ht="12.75">
      <c r="A147" s="1">
        <v>8</v>
      </c>
      <c r="B147" s="1" t="s">
        <v>1404</v>
      </c>
      <c r="C147" s="1" t="s">
        <v>1450</v>
      </c>
      <c r="D147" s="38"/>
      <c r="E147" s="28">
        <v>1.5733564814814816</v>
      </c>
      <c r="H147" s="72" t="str">
        <f t="shared" si="9"/>
        <v>8. Штефан Клаустер (1987)  Австрiя</v>
      </c>
      <c r="I147" s="54">
        <f t="shared" si="10"/>
        <v>1.5733564814814816</v>
      </c>
    </row>
    <row r="149" spans="1:3" ht="12.75">
      <c r="A149" s="126" t="s">
        <v>1465</v>
      </c>
      <c r="B149" s="126"/>
      <c r="C149" s="126"/>
    </row>
    <row r="150" spans="1:5" ht="12.75">
      <c r="A150" s="1" t="s">
        <v>940</v>
      </c>
      <c r="B150" s="1" t="s">
        <v>958</v>
      </c>
      <c r="C150" s="1" t="s">
        <v>577</v>
      </c>
      <c r="D150" s="1" t="s">
        <v>578</v>
      </c>
      <c r="E150" s="38" t="s">
        <v>28</v>
      </c>
    </row>
    <row r="151" spans="1:5" ht="12.75">
      <c r="A151" s="19">
        <v>1</v>
      </c>
      <c r="B151" s="38" t="s">
        <v>1352</v>
      </c>
      <c r="C151" s="60" t="s">
        <v>1462</v>
      </c>
      <c r="D151" s="60"/>
      <c r="E151" s="54">
        <v>1.4244212962962963</v>
      </c>
    </row>
    <row r="152" spans="1:5" ht="12.75">
      <c r="A152" s="1">
        <v>2</v>
      </c>
      <c r="B152" t="s">
        <v>1388</v>
      </c>
      <c r="C152" s="2" t="s">
        <v>1456</v>
      </c>
      <c r="D152" s="28"/>
      <c r="E152" s="28">
        <v>1.429884259259259</v>
      </c>
    </row>
    <row r="153" spans="1:5" ht="12.75">
      <c r="A153" s="19">
        <v>3</v>
      </c>
      <c r="B153" s="1" t="s">
        <v>1396</v>
      </c>
      <c r="C153" s="2" t="s">
        <v>1458</v>
      </c>
      <c r="D153" s="2"/>
      <c r="E153" s="28">
        <v>1.4320601851851853</v>
      </c>
    </row>
    <row r="154" spans="1:5" ht="12.75">
      <c r="A154" s="19">
        <v>4</v>
      </c>
      <c r="B154" s="20" t="s">
        <v>1331</v>
      </c>
      <c r="C154" s="1" t="s">
        <v>627</v>
      </c>
      <c r="D154" s="28"/>
      <c r="E154" s="28">
        <v>1.4722222222222223</v>
      </c>
    </row>
    <row r="155" spans="1:5" ht="12.75">
      <c r="A155" s="1">
        <v>5</v>
      </c>
      <c r="B155" s="1" t="s">
        <v>1349</v>
      </c>
      <c r="C155" s="19" t="s">
        <v>1463</v>
      </c>
      <c r="D155" s="19"/>
      <c r="E155" s="28">
        <v>1.4737152777777778</v>
      </c>
    </row>
    <row r="156" spans="1:5" ht="12.75">
      <c r="A156" s="19">
        <v>6</v>
      </c>
      <c r="B156" s="20" t="s">
        <v>1406</v>
      </c>
      <c r="C156" s="19" t="s">
        <v>1450</v>
      </c>
      <c r="D156" s="54"/>
      <c r="E156" s="28">
        <v>1.4765046296296296</v>
      </c>
    </row>
    <row r="157" spans="1:5" ht="12.75">
      <c r="A157" s="19">
        <v>7</v>
      </c>
      <c r="B157" t="s">
        <v>1419</v>
      </c>
      <c r="C157" s="19" t="s">
        <v>1460</v>
      </c>
      <c r="D157" s="1"/>
      <c r="E157" s="28">
        <v>1.5161921296296297</v>
      </c>
    </row>
    <row r="158" spans="1:5" ht="12.75">
      <c r="A158" s="1">
        <v>8</v>
      </c>
      <c r="B158" s="19" t="s">
        <v>1392</v>
      </c>
      <c r="C158" s="1" t="s">
        <v>1453</v>
      </c>
      <c r="D158" s="38"/>
      <c r="E158" s="28">
        <v>1.5569212962962962</v>
      </c>
    </row>
    <row r="160" ht="12.75">
      <c r="B160" s="79"/>
    </row>
    <row r="161" ht="12.75">
      <c r="B161" t="s">
        <v>1466</v>
      </c>
    </row>
    <row r="162" spans="1:11" ht="12.75">
      <c r="A162" s="1" t="s">
        <v>940</v>
      </c>
      <c r="B162" s="1" t="s">
        <v>958</v>
      </c>
      <c r="C162" s="1" t="s">
        <v>577</v>
      </c>
      <c r="D162" s="1" t="s">
        <v>578</v>
      </c>
      <c r="E162" s="38" t="s">
        <v>28</v>
      </c>
      <c r="F162" s="109"/>
      <c r="G162" s="109"/>
      <c r="H162" s="109"/>
      <c r="I162" s="110">
        <v>2500</v>
      </c>
      <c r="J162" s="46" t="s">
        <v>1481</v>
      </c>
      <c r="K162" s="46" t="s">
        <v>1482</v>
      </c>
    </row>
    <row r="163" spans="1:10" ht="12.75">
      <c r="A163" s="19">
        <v>1</v>
      </c>
      <c r="B163" s="60" t="s">
        <v>1296</v>
      </c>
      <c r="C163" s="60" t="s">
        <v>1433</v>
      </c>
      <c r="D163" s="60"/>
      <c r="E163" s="54">
        <v>1.2959606481481483</v>
      </c>
      <c r="G163" s="72">
        <f>HOUR(E163)+24</f>
        <v>31</v>
      </c>
      <c r="H163" s="78">
        <f>MINUTE(E163)</f>
        <v>6</v>
      </c>
      <c r="I163" s="72">
        <f>$I$162-G163*60-H163</f>
        <v>634</v>
      </c>
      <c r="J163" s="72">
        <f>I163*(1-A163/128)</f>
        <v>629.046875</v>
      </c>
    </row>
    <row r="164" spans="1:10" ht="12.75">
      <c r="A164" s="19">
        <v>2</v>
      </c>
      <c r="B164" s="38" t="s">
        <v>1360</v>
      </c>
      <c r="C164" s="60" t="s">
        <v>1434</v>
      </c>
      <c r="D164" s="60"/>
      <c r="E164" s="54">
        <v>1.3375925925925927</v>
      </c>
      <c r="G164" s="72">
        <f aca="true" t="shared" si="11" ref="G164:G226">HOUR(E164)+24</f>
        <v>32</v>
      </c>
      <c r="H164" s="78">
        <f aca="true" t="shared" si="12" ref="H164:H226">MINUTE(E164)</f>
        <v>6</v>
      </c>
      <c r="I164" s="72">
        <f aca="true" t="shared" si="13" ref="I164:I226">$I$162-G164*60-H164</f>
        <v>574</v>
      </c>
      <c r="J164" s="72">
        <f aca="true" t="shared" si="14" ref="J164:J226">I164*(1-A164/128)</f>
        <v>565.03125</v>
      </c>
    </row>
    <row r="165" spans="1:10" ht="12.75">
      <c r="A165" s="19">
        <v>3</v>
      </c>
      <c r="B165" s="60" t="s">
        <v>1293</v>
      </c>
      <c r="C165" s="60" t="s">
        <v>1426</v>
      </c>
      <c r="D165" s="38"/>
      <c r="E165" s="54">
        <v>1.3432175925925927</v>
      </c>
      <c r="G165" s="72">
        <f t="shared" si="11"/>
        <v>32</v>
      </c>
      <c r="H165" s="78">
        <f t="shared" si="12"/>
        <v>14</v>
      </c>
      <c r="I165" s="72">
        <f t="shared" si="13"/>
        <v>566</v>
      </c>
      <c r="J165" s="72">
        <f t="shared" si="14"/>
        <v>552.734375</v>
      </c>
    </row>
    <row r="166" spans="1:10" ht="12.75">
      <c r="A166" s="19">
        <v>4</v>
      </c>
      <c r="B166" s="38" t="s">
        <v>1339</v>
      </c>
      <c r="C166" s="60" t="s">
        <v>1461</v>
      </c>
      <c r="D166" s="60"/>
      <c r="E166" s="54">
        <v>1.348726851851852</v>
      </c>
      <c r="G166" s="72">
        <f t="shared" si="11"/>
        <v>32</v>
      </c>
      <c r="H166" s="78">
        <f t="shared" si="12"/>
        <v>22</v>
      </c>
      <c r="I166" s="72">
        <f t="shared" si="13"/>
        <v>558</v>
      </c>
      <c r="J166" s="72">
        <f t="shared" si="14"/>
        <v>540.5625</v>
      </c>
    </row>
    <row r="167" spans="1:10" ht="12.75">
      <c r="A167" s="19">
        <v>5</v>
      </c>
      <c r="B167" s="60" t="s">
        <v>1345</v>
      </c>
      <c r="C167" s="60" t="s">
        <v>1444</v>
      </c>
      <c r="D167" s="60"/>
      <c r="E167" s="54">
        <v>1.3612384259259258</v>
      </c>
      <c r="G167" s="72">
        <f t="shared" si="11"/>
        <v>32</v>
      </c>
      <c r="H167" s="78">
        <f t="shared" si="12"/>
        <v>40</v>
      </c>
      <c r="I167" s="72">
        <f t="shared" si="13"/>
        <v>540</v>
      </c>
      <c r="J167" s="72">
        <f t="shared" si="14"/>
        <v>518.90625</v>
      </c>
    </row>
    <row r="168" spans="1:10" ht="12.75">
      <c r="A168" s="19">
        <v>6</v>
      </c>
      <c r="B168" s="88" t="s">
        <v>1309</v>
      </c>
      <c r="C168" s="84" t="s">
        <v>1443</v>
      </c>
      <c r="D168" s="92"/>
      <c r="E168" s="85">
        <v>1.3640046296296298</v>
      </c>
      <c r="G168" s="72">
        <f t="shared" si="11"/>
        <v>32</v>
      </c>
      <c r="H168" s="78">
        <f t="shared" si="12"/>
        <v>44</v>
      </c>
      <c r="I168" s="72">
        <f t="shared" si="13"/>
        <v>536</v>
      </c>
      <c r="J168" s="72">
        <f t="shared" si="14"/>
        <v>510.875</v>
      </c>
    </row>
    <row r="169" spans="1:10" ht="12.75">
      <c r="A169" s="19">
        <v>7</v>
      </c>
      <c r="B169" s="91" t="s">
        <v>1323</v>
      </c>
      <c r="C169" s="88" t="s">
        <v>1015</v>
      </c>
      <c r="D169" s="88"/>
      <c r="E169" s="85">
        <v>1.3826388888888888</v>
      </c>
      <c r="G169" s="72">
        <f t="shared" si="11"/>
        <v>33</v>
      </c>
      <c r="H169" s="78">
        <f t="shared" si="12"/>
        <v>11</v>
      </c>
      <c r="I169" s="72">
        <f t="shared" si="13"/>
        <v>509</v>
      </c>
      <c r="J169" s="72">
        <f t="shared" si="14"/>
        <v>481.1640625</v>
      </c>
    </row>
    <row r="170" spans="1:10" ht="12.75">
      <c r="A170" s="19">
        <v>8</v>
      </c>
      <c r="B170" s="38" t="s">
        <v>1317</v>
      </c>
      <c r="C170" s="60" t="s">
        <v>589</v>
      </c>
      <c r="D170" s="60"/>
      <c r="E170" s="54">
        <v>1.3917939814814815</v>
      </c>
      <c r="G170" s="72">
        <f t="shared" si="11"/>
        <v>33</v>
      </c>
      <c r="H170" s="78">
        <f t="shared" si="12"/>
        <v>24</v>
      </c>
      <c r="I170" s="72">
        <f t="shared" si="13"/>
        <v>496</v>
      </c>
      <c r="J170" s="72">
        <f t="shared" si="14"/>
        <v>465</v>
      </c>
    </row>
    <row r="171" spans="1:10" ht="12.75">
      <c r="A171" s="19">
        <v>9</v>
      </c>
      <c r="B171" s="84" t="s">
        <v>1370</v>
      </c>
      <c r="C171" s="84" t="s">
        <v>1455</v>
      </c>
      <c r="D171" s="84"/>
      <c r="E171" s="85">
        <v>1.3938657407407407</v>
      </c>
      <c r="G171" s="72">
        <f t="shared" si="11"/>
        <v>33</v>
      </c>
      <c r="H171" s="78">
        <f t="shared" si="12"/>
        <v>27</v>
      </c>
      <c r="I171" s="72">
        <f t="shared" si="13"/>
        <v>493</v>
      </c>
      <c r="J171" s="72">
        <f t="shared" si="14"/>
        <v>458.3359375</v>
      </c>
    </row>
    <row r="172" spans="1:10" ht="12.75">
      <c r="A172" s="19">
        <v>10</v>
      </c>
      <c r="B172" s="88" t="s">
        <v>1301</v>
      </c>
      <c r="C172" s="84" t="s">
        <v>1440</v>
      </c>
      <c r="D172" s="92"/>
      <c r="E172" s="85">
        <v>1.4008217592592593</v>
      </c>
      <c r="G172" s="72">
        <f t="shared" si="11"/>
        <v>33</v>
      </c>
      <c r="H172" s="78">
        <f t="shared" si="12"/>
        <v>37</v>
      </c>
      <c r="I172" s="72">
        <f t="shared" si="13"/>
        <v>483</v>
      </c>
      <c r="J172" s="72">
        <f t="shared" si="14"/>
        <v>445.265625</v>
      </c>
    </row>
    <row r="173" spans="1:10" ht="12.75">
      <c r="A173" s="19">
        <v>11</v>
      </c>
      <c r="B173" s="38" t="s">
        <v>1313</v>
      </c>
      <c r="C173" s="60" t="s">
        <v>1447</v>
      </c>
      <c r="D173" s="60"/>
      <c r="E173" s="54">
        <v>1.40625</v>
      </c>
      <c r="G173" s="72">
        <f t="shared" si="11"/>
        <v>33</v>
      </c>
      <c r="H173" s="78">
        <f t="shared" si="12"/>
        <v>45</v>
      </c>
      <c r="I173" s="72">
        <f t="shared" si="13"/>
        <v>475</v>
      </c>
      <c r="J173" s="72">
        <f t="shared" si="14"/>
        <v>434.1796875</v>
      </c>
    </row>
    <row r="174" spans="1:10" ht="12.75">
      <c r="A174" s="19">
        <v>12</v>
      </c>
      <c r="B174" s="91" t="s">
        <v>1338</v>
      </c>
      <c r="C174" s="84" t="s">
        <v>1427</v>
      </c>
      <c r="D174" s="19"/>
      <c r="E174" s="28">
        <v>1.4202662037037037</v>
      </c>
      <c r="G174" s="72">
        <f t="shared" si="11"/>
        <v>34</v>
      </c>
      <c r="H174" s="78">
        <f t="shared" si="12"/>
        <v>5</v>
      </c>
      <c r="I174" s="72">
        <f t="shared" si="13"/>
        <v>455</v>
      </c>
      <c r="J174" s="72">
        <f t="shared" si="14"/>
        <v>412.34375</v>
      </c>
    </row>
    <row r="175" spans="1:10" ht="12.75">
      <c r="A175" s="19">
        <v>13</v>
      </c>
      <c r="B175" s="38" t="s">
        <v>1352</v>
      </c>
      <c r="C175" s="60" t="s">
        <v>1462</v>
      </c>
      <c r="D175" s="60"/>
      <c r="E175" s="54">
        <v>1.4244212962962963</v>
      </c>
      <c r="G175" s="72">
        <f t="shared" si="11"/>
        <v>34</v>
      </c>
      <c r="H175" s="78">
        <f t="shared" si="12"/>
        <v>11</v>
      </c>
      <c r="I175" s="72">
        <f t="shared" si="13"/>
        <v>449</v>
      </c>
      <c r="J175" s="72">
        <f t="shared" si="14"/>
        <v>403.3984375</v>
      </c>
    </row>
    <row r="176" spans="1:10" ht="12.75">
      <c r="A176" s="19">
        <v>14</v>
      </c>
      <c r="B176" s="20" t="s">
        <v>1402</v>
      </c>
      <c r="C176" s="19" t="s">
        <v>1431</v>
      </c>
      <c r="D176" s="54"/>
      <c r="E176" s="28">
        <v>1.4285416666666666</v>
      </c>
      <c r="G176" s="72">
        <f t="shared" si="11"/>
        <v>34</v>
      </c>
      <c r="H176" s="78">
        <f t="shared" si="12"/>
        <v>17</v>
      </c>
      <c r="I176" s="72">
        <f t="shared" si="13"/>
        <v>443</v>
      </c>
      <c r="J176" s="72">
        <f t="shared" si="14"/>
        <v>394.546875</v>
      </c>
    </row>
    <row r="177" spans="1:10" ht="12.75">
      <c r="A177" s="19">
        <v>15</v>
      </c>
      <c r="B177" s="1" t="s">
        <v>1388</v>
      </c>
      <c r="C177" s="2" t="s">
        <v>1473</v>
      </c>
      <c r="D177" s="28"/>
      <c r="E177" s="28">
        <v>1.429884259259259</v>
      </c>
      <c r="G177" s="72">
        <f t="shared" si="11"/>
        <v>34</v>
      </c>
      <c r="H177" s="78">
        <f t="shared" si="12"/>
        <v>19</v>
      </c>
      <c r="I177" s="72">
        <f t="shared" si="13"/>
        <v>441</v>
      </c>
      <c r="J177" s="72">
        <f t="shared" si="14"/>
        <v>389.3203125</v>
      </c>
    </row>
    <row r="178" spans="1:10" ht="12.75">
      <c r="A178" s="19">
        <v>16</v>
      </c>
      <c r="B178" s="19" t="s">
        <v>1411</v>
      </c>
      <c r="C178" s="19" t="s">
        <v>1448</v>
      </c>
      <c r="D178" s="38"/>
      <c r="E178" s="28">
        <v>1.4299421296296295</v>
      </c>
      <c r="G178" s="72">
        <f t="shared" si="11"/>
        <v>34</v>
      </c>
      <c r="H178" s="78">
        <f t="shared" si="12"/>
        <v>19</v>
      </c>
      <c r="I178" s="72">
        <f t="shared" si="13"/>
        <v>441</v>
      </c>
      <c r="J178" s="72">
        <f t="shared" si="14"/>
        <v>385.875</v>
      </c>
    </row>
    <row r="179" spans="1:10" ht="12.75">
      <c r="A179" s="19">
        <v>17</v>
      </c>
      <c r="B179" s="2" t="s">
        <v>1416</v>
      </c>
      <c r="C179" s="2" t="s">
        <v>1029</v>
      </c>
      <c r="D179" s="2"/>
      <c r="E179" s="28">
        <v>1.4301273148148148</v>
      </c>
      <c r="G179" s="72">
        <f t="shared" si="11"/>
        <v>34</v>
      </c>
      <c r="H179" s="78">
        <f t="shared" si="12"/>
        <v>19</v>
      </c>
      <c r="I179" s="72">
        <f t="shared" si="13"/>
        <v>441</v>
      </c>
      <c r="J179" s="72">
        <f t="shared" si="14"/>
        <v>382.4296875</v>
      </c>
    </row>
    <row r="180" spans="1:10" ht="12.75">
      <c r="A180" s="19">
        <v>18</v>
      </c>
      <c r="B180" s="1" t="s">
        <v>1396</v>
      </c>
      <c r="C180" s="2" t="s">
        <v>1458</v>
      </c>
      <c r="D180" s="2"/>
      <c r="E180" s="28">
        <v>1.4320601851851853</v>
      </c>
      <c r="G180" s="72">
        <f t="shared" si="11"/>
        <v>34</v>
      </c>
      <c r="H180" s="78">
        <f t="shared" si="12"/>
        <v>22</v>
      </c>
      <c r="I180" s="72">
        <f t="shared" si="13"/>
        <v>438</v>
      </c>
      <c r="J180" s="72">
        <f t="shared" si="14"/>
        <v>376.40625</v>
      </c>
    </row>
    <row r="181" spans="1:10" ht="12.75">
      <c r="A181" s="19">
        <v>19</v>
      </c>
      <c r="B181" s="1" t="s">
        <v>1358</v>
      </c>
      <c r="C181" s="1" t="s">
        <v>1428</v>
      </c>
      <c r="D181" s="1"/>
      <c r="E181" s="5">
        <v>1.4320717592592593</v>
      </c>
      <c r="G181" s="72">
        <f t="shared" si="11"/>
        <v>34</v>
      </c>
      <c r="H181" s="78">
        <f t="shared" si="12"/>
        <v>22</v>
      </c>
      <c r="I181" s="72">
        <f t="shared" si="13"/>
        <v>438</v>
      </c>
      <c r="J181" s="72">
        <f t="shared" si="14"/>
        <v>372.984375</v>
      </c>
    </row>
    <row r="182" spans="1:10" ht="12.75">
      <c r="A182" s="19">
        <v>20</v>
      </c>
      <c r="B182" s="19" t="s">
        <v>1367</v>
      </c>
      <c r="C182" s="2" t="s">
        <v>1436</v>
      </c>
      <c r="D182" s="38"/>
      <c r="E182" s="28">
        <v>1.4480324074074076</v>
      </c>
      <c r="G182" s="72">
        <f t="shared" si="11"/>
        <v>34</v>
      </c>
      <c r="H182" s="78">
        <f t="shared" si="12"/>
        <v>45</v>
      </c>
      <c r="I182" s="72">
        <f t="shared" si="13"/>
        <v>415</v>
      </c>
      <c r="J182" s="72">
        <f t="shared" si="14"/>
        <v>350.15625</v>
      </c>
    </row>
    <row r="183" spans="1:10" ht="12.75">
      <c r="A183" s="19">
        <v>21</v>
      </c>
      <c r="B183" s="1" t="s">
        <v>1361</v>
      </c>
      <c r="C183" s="1" t="s">
        <v>1434</v>
      </c>
      <c r="D183" s="1"/>
      <c r="E183" s="28">
        <v>1.4542824074074074</v>
      </c>
      <c r="G183" s="72">
        <f t="shared" si="11"/>
        <v>34</v>
      </c>
      <c r="H183" s="78">
        <f t="shared" si="12"/>
        <v>54</v>
      </c>
      <c r="I183" s="72">
        <f t="shared" si="13"/>
        <v>406</v>
      </c>
      <c r="J183" s="72">
        <f t="shared" si="14"/>
        <v>339.390625</v>
      </c>
    </row>
    <row r="184" spans="1:10" ht="12.75">
      <c r="A184" s="19">
        <v>22</v>
      </c>
      <c r="B184" s="2" t="s">
        <v>1357</v>
      </c>
      <c r="C184" s="1" t="s">
        <v>1428</v>
      </c>
      <c r="D184" s="28"/>
      <c r="E184" s="28">
        <v>1.4551157407407407</v>
      </c>
      <c r="G184" s="72">
        <f t="shared" si="11"/>
        <v>34</v>
      </c>
      <c r="H184" s="78">
        <f t="shared" si="12"/>
        <v>55</v>
      </c>
      <c r="I184" s="72">
        <f t="shared" si="13"/>
        <v>405</v>
      </c>
      <c r="J184" s="72">
        <f t="shared" si="14"/>
        <v>335.390625</v>
      </c>
    </row>
    <row r="185" spans="1:10" ht="12.75">
      <c r="A185" s="19">
        <v>23</v>
      </c>
      <c r="B185" s="21" t="s">
        <v>1343</v>
      </c>
      <c r="C185" s="21" t="s">
        <v>596</v>
      </c>
      <c r="D185" s="38"/>
      <c r="E185" s="28">
        <v>1.4584722222222222</v>
      </c>
      <c r="G185" s="72">
        <f t="shared" si="11"/>
        <v>35</v>
      </c>
      <c r="H185" s="78">
        <f t="shared" si="12"/>
        <v>0</v>
      </c>
      <c r="I185" s="72">
        <f t="shared" si="13"/>
        <v>400</v>
      </c>
      <c r="J185" s="72">
        <f t="shared" si="14"/>
        <v>328.125</v>
      </c>
    </row>
    <row r="186" spans="1:10" ht="12.75">
      <c r="A186" s="19">
        <v>24</v>
      </c>
      <c r="B186" s="20" t="s">
        <v>1413</v>
      </c>
      <c r="C186" s="19" t="s">
        <v>1449</v>
      </c>
      <c r="D186" s="54"/>
      <c r="E186" s="28">
        <v>1.4597453703703704</v>
      </c>
      <c r="G186" s="72">
        <f t="shared" si="11"/>
        <v>35</v>
      </c>
      <c r="H186" s="78">
        <f t="shared" si="12"/>
        <v>2</v>
      </c>
      <c r="I186" s="72">
        <f t="shared" si="13"/>
        <v>398</v>
      </c>
      <c r="J186" s="72">
        <f t="shared" si="14"/>
        <v>323.375</v>
      </c>
    </row>
    <row r="187" spans="1:10" ht="12.75">
      <c r="A187" s="19">
        <v>25</v>
      </c>
      <c r="B187" s="19" t="s">
        <v>1355</v>
      </c>
      <c r="C187" s="2" t="s">
        <v>1017</v>
      </c>
      <c r="D187" s="19"/>
      <c r="E187" s="28">
        <v>1.4661805555555556</v>
      </c>
      <c r="G187" s="72">
        <f t="shared" si="11"/>
        <v>35</v>
      </c>
      <c r="H187" s="78">
        <f t="shared" si="12"/>
        <v>11</v>
      </c>
      <c r="I187" s="72">
        <f t="shared" si="13"/>
        <v>389</v>
      </c>
      <c r="J187" s="72">
        <f t="shared" si="14"/>
        <v>313.0234375</v>
      </c>
    </row>
    <row r="188" spans="1:10" ht="12.75">
      <c r="A188" s="19">
        <v>26</v>
      </c>
      <c r="B188" s="20" t="s">
        <v>1331</v>
      </c>
      <c r="C188" s="1" t="s">
        <v>627</v>
      </c>
      <c r="D188" s="28"/>
      <c r="E188" s="28">
        <v>1.4722222222222223</v>
      </c>
      <c r="G188" s="72">
        <f t="shared" si="11"/>
        <v>35</v>
      </c>
      <c r="H188" s="78">
        <f t="shared" si="12"/>
        <v>20</v>
      </c>
      <c r="I188" s="72">
        <f t="shared" si="13"/>
        <v>380</v>
      </c>
      <c r="J188" s="72">
        <f t="shared" si="14"/>
        <v>302.8125</v>
      </c>
    </row>
    <row r="189" spans="1:10" ht="12.75">
      <c r="A189" s="19">
        <v>27</v>
      </c>
      <c r="B189" s="1" t="s">
        <v>1349</v>
      </c>
      <c r="C189" s="19" t="s">
        <v>1463</v>
      </c>
      <c r="D189" s="19"/>
      <c r="E189" s="28">
        <v>1.4737152777777778</v>
      </c>
      <c r="G189" s="72">
        <f t="shared" si="11"/>
        <v>35</v>
      </c>
      <c r="H189" s="78">
        <f t="shared" si="12"/>
        <v>22</v>
      </c>
      <c r="I189" s="72">
        <f t="shared" si="13"/>
        <v>378</v>
      </c>
      <c r="J189" s="72">
        <f t="shared" si="14"/>
        <v>298.265625</v>
      </c>
    </row>
    <row r="190" spans="1:10" ht="12.75">
      <c r="A190" s="19">
        <v>28</v>
      </c>
      <c r="B190" s="2" t="s">
        <v>1364</v>
      </c>
      <c r="C190" s="2" t="s">
        <v>1435</v>
      </c>
      <c r="D190" s="1"/>
      <c r="E190" s="28">
        <v>1.4738078703703703</v>
      </c>
      <c r="G190" s="72">
        <f t="shared" si="11"/>
        <v>35</v>
      </c>
      <c r="H190" s="78">
        <f t="shared" si="12"/>
        <v>22</v>
      </c>
      <c r="I190" s="72">
        <f t="shared" si="13"/>
        <v>378</v>
      </c>
      <c r="J190" s="72">
        <f t="shared" si="14"/>
        <v>295.3125</v>
      </c>
    </row>
    <row r="191" spans="1:10" ht="12.75">
      <c r="A191" s="19">
        <v>29</v>
      </c>
      <c r="B191" s="20" t="s">
        <v>1394</v>
      </c>
      <c r="C191" s="19" t="s">
        <v>1457</v>
      </c>
      <c r="D191" s="54"/>
      <c r="E191" s="28">
        <v>1.4738194444444446</v>
      </c>
      <c r="G191" s="72">
        <f t="shared" si="11"/>
        <v>35</v>
      </c>
      <c r="H191" s="78">
        <f t="shared" si="12"/>
        <v>22</v>
      </c>
      <c r="I191" s="72">
        <f t="shared" si="13"/>
        <v>378</v>
      </c>
      <c r="J191" s="72">
        <f t="shared" si="14"/>
        <v>292.359375</v>
      </c>
    </row>
    <row r="192" spans="1:10" ht="12.75">
      <c r="A192" s="19">
        <v>30</v>
      </c>
      <c r="B192" s="20" t="s">
        <v>1406</v>
      </c>
      <c r="C192" s="19" t="s">
        <v>1450</v>
      </c>
      <c r="D192" s="54"/>
      <c r="E192" s="28">
        <v>1.4765046296296296</v>
      </c>
      <c r="G192" s="72">
        <f t="shared" si="11"/>
        <v>35</v>
      </c>
      <c r="H192" s="78">
        <f t="shared" si="12"/>
        <v>26</v>
      </c>
      <c r="I192" s="72">
        <f t="shared" si="13"/>
        <v>374</v>
      </c>
      <c r="J192" s="72">
        <f t="shared" si="14"/>
        <v>286.34375</v>
      </c>
    </row>
    <row r="193" spans="1:10" ht="12.75">
      <c r="A193" s="19">
        <v>31</v>
      </c>
      <c r="B193" s="20" t="s">
        <v>1410</v>
      </c>
      <c r="C193" s="19" t="s">
        <v>1448</v>
      </c>
      <c r="D193" s="54"/>
      <c r="E193" s="28">
        <v>1.477199074074074</v>
      </c>
      <c r="G193" s="72">
        <f t="shared" si="11"/>
        <v>35</v>
      </c>
      <c r="H193" s="78">
        <f t="shared" si="12"/>
        <v>27</v>
      </c>
      <c r="I193" s="72">
        <f t="shared" si="13"/>
        <v>373</v>
      </c>
      <c r="J193" s="72">
        <f t="shared" si="14"/>
        <v>282.6640625</v>
      </c>
    </row>
    <row r="194" spans="1:10" ht="12.75">
      <c r="A194" s="19">
        <v>32</v>
      </c>
      <c r="B194" s="1" t="s">
        <v>1390</v>
      </c>
      <c r="C194" s="1" t="s">
        <v>1453</v>
      </c>
      <c r="D194" s="28"/>
      <c r="E194" s="28">
        <v>1.4897222222222222</v>
      </c>
      <c r="G194" s="72">
        <f t="shared" si="11"/>
        <v>35</v>
      </c>
      <c r="H194" s="78">
        <f t="shared" si="12"/>
        <v>45</v>
      </c>
      <c r="I194" s="72">
        <f t="shared" si="13"/>
        <v>355</v>
      </c>
      <c r="J194" s="72">
        <f t="shared" si="14"/>
        <v>266.25</v>
      </c>
    </row>
    <row r="195" spans="1:10" ht="12.75">
      <c r="A195" s="19">
        <v>33</v>
      </c>
      <c r="B195" s="19" t="s">
        <v>1412</v>
      </c>
      <c r="C195" s="1" t="s">
        <v>1449</v>
      </c>
      <c r="D195" s="38"/>
      <c r="E195" s="28">
        <v>1.4898032407407407</v>
      </c>
      <c r="G195" s="72">
        <f t="shared" si="11"/>
        <v>35</v>
      </c>
      <c r="H195" s="78">
        <f t="shared" si="12"/>
        <v>45</v>
      </c>
      <c r="I195" s="72">
        <f t="shared" si="13"/>
        <v>355</v>
      </c>
      <c r="J195" s="72">
        <f t="shared" si="14"/>
        <v>263.4765625</v>
      </c>
    </row>
    <row r="196" spans="1:10" ht="12.75">
      <c r="A196" s="19">
        <v>34</v>
      </c>
      <c r="B196" s="20" t="s">
        <v>1415</v>
      </c>
      <c r="C196" s="2" t="s">
        <v>1027</v>
      </c>
      <c r="D196" s="1"/>
      <c r="E196" s="28">
        <v>1.490162037037037</v>
      </c>
      <c r="G196" s="72">
        <f t="shared" si="11"/>
        <v>35</v>
      </c>
      <c r="H196" s="78">
        <f t="shared" si="12"/>
        <v>45</v>
      </c>
      <c r="I196" s="72">
        <f t="shared" si="13"/>
        <v>355</v>
      </c>
      <c r="J196" s="72">
        <f t="shared" si="14"/>
        <v>260.703125</v>
      </c>
    </row>
    <row r="197" spans="1:10" ht="12.75">
      <c r="A197" s="19">
        <v>35</v>
      </c>
      <c r="B197" s="1" t="s">
        <v>1405</v>
      </c>
      <c r="C197" s="2" t="s">
        <v>1450</v>
      </c>
      <c r="D197" s="28"/>
      <c r="E197" s="28">
        <v>1.491099537037037</v>
      </c>
      <c r="G197" s="72">
        <f t="shared" si="11"/>
        <v>35</v>
      </c>
      <c r="H197" s="78">
        <f t="shared" si="12"/>
        <v>47</v>
      </c>
      <c r="I197" s="72">
        <f t="shared" si="13"/>
        <v>353</v>
      </c>
      <c r="J197" s="72">
        <f t="shared" si="14"/>
        <v>256.4765625</v>
      </c>
    </row>
    <row r="198" spans="1:10" ht="12.75">
      <c r="A198" s="19">
        <v>36</v>
      </c>
      <c r="B198" s="2" t="s">
        <v>1382</v>
      </c>
      <c r="C198" s="2" t="s">
        <v>1445</v>
      </c>
      <c r="D198" s="2"/>
      <c r="E198" s="28">
        <v>1.5042824074074073</v>
      </c>
      <c r="G198" s="72">
        <f t="shared" si="11"/>
        <v>36</v>
      </c>
      <c r="H198" s="78">
        <f t="shared" si="12"/>
        <v>6</v>
      </c>
      <c r="I198" s="72">
        <f t="shared" si="13"/>
        <v>334</v>
      </c>
      <c r="J198" s="72">
        <f t="shared" si="14"/>
        <v>240.0625</v>
      </c>
    </row>
    <row r="199" spans="1:10" ht="12.75">
      <c r="A199" s="19">
        <v>37</v>
      </c>
      <c r="B199" s="20" t="s">
        <v>1403</v>
      </c>
      <c r="C199" s="2" t="s">
        <v>1431</v>
      </c>
      <c r="D199" s="28"/>
      <c r="E199" s="28">
        <v>1.5077546296296296</v>
      </c>
      <c r="G199" s="72">
        <f t="shared" si="11"/>
        <v>36</v>
      </c>
      <c r="H199" s="78">
        <f t="shared" si="12"/>
        <v>11</v>
      </c>
      <c r="I199" s="72">
        <f t="shared" si="13"/>
        <v>329</v>
      </c>
      <c r="J199" s="72">
        <f t="shared" si="14"/>
        <v>233.8984375</v>
      </c>
    </row>
    <row r="200" spans="1:10" ht="12.75">
      <c r="A200" s="19">
        <v>38</v>
      </c>
      <c r="B200" t="s">
        <v>1407</v>
      </c>
      <c r="C200" s="1" t="s">
        <v>1437</v>
      </c>
      <c r="D200" s="28"/>
      <c r="E200" s="28">
        <v>1.513275462962963</v>
      </c>
      <c r="G200" s="72">
        <f t="shared" si="11"/>
        <v>36</v>
      </c>
      <c r="H200" s="78">
        <f t="shared" si="12"/>
        <v>19</v>
      </c>
      <c r="I200" s="72">
        <f t="shared" si="13"/>
        <v>321</v>
      </c>
      <c r="J200" s="72">
        <f t="shared" si="14"/>
        <v>225.703125</v>
      </c>
    </row>
    <row r="201" spans="1:10" ht="12.75">
      <c r="A201" s="19">
        <v>39</v>
      </c>
      <c r="B201" s="1" t="s">
        <v>1419</v>
      </c>
      <c r="C201" s="19" t="s">
        <v>1460</v>
      </c>
      <c r="D201" s="1"/>
      <c r="E201" s="28">
        <v>1.5161921296296297</v>
      </c>
      <c r="G201" s="72">
        <f t="shared" si="11"/>
        <v>36</v>
      </c>
      <c r="H201" s="78">
        <f t="shared" si="12"/>
        <v>23</v>
      </c>
      <c r="I201" s="72">
        <f t="shared" si="13"/>
        <v>317</v>
      </c>
      <c r="J201" s="72">
        <f t="shared" si="14"/>
        <v>220.4140625</v>
      </c>
    </row>
    <row r="202" spans="1:10" ht="12.75">
      <c r="A202" s="19">
        <v>40</v>
      </c>
      <c r="B202" s="1" t="s">
        <v>1387</v>
      </c>
      <c r="C202" s="2" t="s">
        <v>1473</v>
      </c>
      <c r="D202" s="28"/>
      <c r="E202" s="28">
        <v>1.5166319444444445</v>
      </c>
      <c r="G202" s="72">
        <f t="shared" si="11"/>
        <v>36</v>
      </c>
      <c r="H202" s="78">
        <f t="shared" si="12"/>
        <v>23</v>
      </c>
      <c r="I202" s="72">
        <f t="shared" si="13"/>
        <v>317</v>
      </c>
      <c r="J202" s="72">
        <f t="shared" si="14"/>
        <v>217.9375</v>
      </c>
    </row>
    <row r="203" spans="1:10" ht="12.75">
      <c r="A203" s="19">
        <v>41</v>
      </c>
      <c r="B203" s="20" t="s">
        <v>1376</v>
      </c>
      <c r="C203" s="1" t="s">
        <v>1429</v>
      </c>
      <c r="D203" s="28"/>
      <c r="E203" s="28">
        <v>1.518275462962963</v>
      </c>
      <c r="G203" s="72">
        <f t="shared" si="11"/>
        <v>36</v>
      </c>
      <c r="H203" s="78">
        <f t="shared" si="12"/>
        <v>26</v>
      </c>
      <c r="I203" s="72">
        <f t="shared" si="13"/>
        <v>314</v>
      </c>
      <c r="J203" s="72">
        <f t="shared" si="14"/>
        <v>213.421875</v>
      </c>
    </row>
    <row r="204" spans="1:10" ht="12.75">
      <c r="A204" s="19">
        <v>42</v>
      </c>
      <c r="B204" s="20" t="s">
        <v>1399</v>
      </c>
      <c r="C204" s="2" t="s">
        <v>1452</v>
      </c>
      <c r="D204" s="1"/>
      <c r="E204" s="28">
        <v>1.5313888888888887</v>
      </c>
      <c r="G204" s="72">
        <f t="shared" si="11"/>
        <v>36</v>
      </c>
      <c r="H204" s="78">
        <f t="shared" si="12"/>
        <v>45</v>
      </c>
      <c r="I204" s="72">
        <f t="shared" si="13"/>
        <v>295</v>
      </c>
      <c r="J204" s="72">
        <f t="shared" si="14"/>
        <v>198.203125</v>
      </c>
    </row>
    <row r="205" spans="1:10" ht="12.75">
      <c r="A205" s="19">
        <v>43</v>
      </c>
      <c r="B205" s="1" t="s">
        <v>1334</v>
      </c>
      <c r="C205" s="1" t="s">
        <v>1441</v>
      </c>
      <c r="D205" s="28"/>
      <c r="E205" s="28">
        <v>1.5376273148148147</v>
      </c>
      <c r="G205" s="72">
        <f t="shared" si="11"/>
        <v>36</v>
      </c>
      <c r="H205" s="78">
        <f t="shared" si="12"/>
        <v>54</v>
      </c>
      <c r="I205" s="72">
        <f t="shared" si="13"/>
        <v>286</v>
      </c>
      <c r="J205" s="72">
        <f t="shared" si="14"/>
        <v>189.921875</v>
      </c>
    </row>
    <row r="206" spans="1:10" ht="12.75">
      <c r="A206" s="19">
        <v>44</v>
      </c>
      <c r="B206" s="19" t="s">
        <v>1362</v>
      </c>
      <c r="C206" s="1" t="s">
        <v>1435</v>
      </c>
      <c r="D206" s="38"/>
      <c r="E206" s="28">
        <v>1.5396296296296297</v>
      </c>
      <c r="G206" s="72">
        <f t="shared" si="11"/>
        <v>36</v>
      </c>
      <c r="H206" s="78">
        <f t="shared" si="12"/>
        <v>57</v>
      </c>
      <c r="I206" s="72">
        <f t="shared" si="13"/>
        <v>283</v>
      </c>
      <c r="J206" s="72">
        <f t="shared" si="14"/>
        <v>185.71875</v>
      </c>
    </row>
    <row r="207" spans="1:10" ht="12.75">
      <c r="A207" s="19">
        <v>45</v>
      </c>
      <c r="B207" s="1" t="s">
        <v>1421</v>
      </c>
      <c r="C207" s="1" t="s">
        <v>1030</v>
      </c>
      <c r="D207" s="28"/>
      <c r="E207" s="28">
        <v>1.5416898148148148</v>
      </c>
      <c r="G207" s="72">
        <f t="shared" si="11"/>
        <v>37</v>
      </c>
      <c r="H207" s="78">
        <f t="shared" si="12"/>
        <v>0</v>
      </c>
      <c r="I207" s="72">
        <f t="shared" si="13"/>
        <v>280</v>
      </c>
      <c r="J207" s="72">
        <f t="shared" si="14"/>
        <v>181.5625</v>
      </c>
    </row>
    <row r="208" spans="1:10" ht="12.75">
      <c r="A208" s="19">
        <v>46</v>
      </c>
      <c r="B208" s="20" t="s">
        <v>1417</v>
      </c>
      <c r="C208" s="19" t="s">
        <v>1029</v>
      </c>
      <c r="D208" s="54"/>
      <c r="E208" s="28">
        <v>1.5417013888888889</v>
      </c>
      <c r="G208" s="72">
        <f t="shared" si="11"/>
        <v>37</v>
      </c>
      <c r="H208" s="78">
        <f t="shared" si="12"/>
        <v>0</v>
      </c>
      <c r="I208" s="72">
        <f t="shared" si="13"/>
        <v>280</v>
      </c>
      <c r="J208" s="72">
        <f t="shared" si="14"/>
        <v>179.375</v>
      </c>
    </row>
    <row r="209" spans="1:10" ht="12.75">
      <c r="A209" s="19">
        <v>47</v>
      </c>
      <c r="B209" s="20" t="s">
        <v>1385</v>
      </c>
      <c r="C209" s="19" t="s">
        <v>1438</v>
      </c>
      <c r="D209" s="28"/>
      <c r="E209" s="28">
        <v>1.5494212962962963</v>
      </c>
      <c r="G209" s="72">
        <f t="shared" si="11"/>
        <v>37</v>
      </c>
      <c r="H209" s="78">
        <f t="shared" si="12"/>
        <v>11</v>
      </c>
      <c r="I209" s="72">
        <f t="shared" si="13"/>
        <v>269</v>
      </c>
      <c r="J209" s="72">
        <f t="shared" si="14"/>
        <v>170.2265625</v>
      </c>
    </row>
    <row r="210" spans="1:10" ht="12.75">
      <c r="A210" s="19">
        <v>48</v>
      </c>
      <c r="B210" t="s">
        <v>1366</v>
      </c>
      <c r="C210" s="2" t="s">
        <v>1436</v>
      </c>
      <c r="D210" s="28"/>
      <c r="E210" s="28">
        <v>1.5494212962962963</v>
      </c>
      <c r="G210" s="72">
        <f t="shared" si="11"/>
        <v>37</v>
      </c>
      <c r="H210" s="78">
        <f t="shared" si="12"/>
        <v>11</v>
      </c>
      <c r="I210" s="72">
        <f t="shared" si="13"/>
        <v>269</v>
      </c>
      <c r="J210" s="72">
        <f t="shared" si="14"/>
        <v>168.125</v>
      </c>
    </row>
    <row r="211" spans="1:10" ht="12.75">
      <c r="A211" s="19">
        <v>49</v>
      </c>
      <c r="B211" s="20" t="s">
        <v>1409</v>
      </c>
      <c r="C211" s="2" t="s">
        <v>1437</v>
      </c>
      <c r="D211" s="1"/>
      <c r="E211" s="28">
        <v>1.5563657407407405</v>
      </c>
      <c r="G211" s="72">
        <f t="shared" si="11"/>
        <v>37</v>
      </c>
      <c r="H211" s="78">
        <f t="shared" si="12"/>
        <v>21</v>
      </c>
      <c r="I211" s="72">
        <f t="shared" si="13"/>
        <v>259</v>
      </c>
      <c r="J211" s="72">
        <f t="shared" si="14"/>
        <v>159.8515625</v>
      </c>
    </row>
    <row r="212" spans="1:10" ht="12.75">
      <c r="A212" s="19">
        <v>50</v>
      </c>
      <c r="B212" s="19" t="s">
        <v>1392</v>
      </c>
      <c r="C212" s="1" t="s">
        <v>1453</v>
      </c>
      <c r="D212" s="38"/>
      <c r="E212" s="28">
        <v>1.5569212962962962</v>
      </c>
      <c r="G212" s="72">
        <f t="shared" si="11"/>
        <v>37</v>
      </c>
      <c r="H212" s="78">
        <f t="shared" si="12"/>
        <v>21</v>
      </c>
      <c r="I212" s="72">
        <f t="shared" si="13"/>
        <v>259</v>
      </c>
      <c r="J212" s="72">
        <f t="shared" si="14"/>
        <v>157.828125</v>
      </c>
    </row>
    <row r="213" spans="1:10" ht="12.75">
      <c r="A213" s="19">
        <v>51</v>
      </c>
      <c r="B213" t="s">
        <v>1393</v>
      </c>
      <c r="C213" s="2" t="s">
        <v>1457</v>
      </c>
      <c r="D213" s="2"/>
      <c r="E213" s="28">
        <v>1.5573958333333333</v>
      </c>
      <c r="G213" s="72">
        <f t="shared" si="11"/>
        <v>37</v>
      </c>
      <c r="H213" s="78">
        <f t="shared" si="12"/>
        <v>22</v>
      </c>
      <c r="I213" s="72">
        <f t="shared" si="13"/>
        <v>258</v>
      </c>
      <c r="J213" s="72">
        <f t="shared" si="14"/>
        <v>155.203125</v>
      </c>
    </row>
    <row r="214" spans="1:10" ht="12.75">
      <c r="A214" s="19">
        <v>52</v>
      </c>
      <c r="B214" s="1" t="s">
        <v>1418</v>
      </c>
      <c r="C214" s="19" t="s">
        <v>1460</v>
      </c>
      <c r="D214" s="19"/>
      <c r="E214" s="28">
        <v>1.559247685185185</v>
      </c>
      <c r="G214" s="72">
        <f t="shared" si="11"/>
        <v>37</v>
      </c>
      <c r="H214" s="78">
        <f t="shared" si="12"/>
        <v>25</v>
      </c>
      <c r="I214" s="72">
        <f t="shared" si="13"/>
        <v>255</v>
      </c>
      <c r="J214" s="72">
        <f t="shared" si="14"/>
        <v>151.40625</v>
      </c>
    </row>
    <row r="215" spans="1:10" ht="12.75">
      <c r="A215" s="19">
        <v>53</v>
      </c>
      <c r="B215" s="2" t="s">
        <v>1379</v>
      </c>
      <c r="C215" s="2" t="s">
        <v>1451</v>
      </c>
      <c r="D215" s="2"/>
      <c r="E215" s="28">
        <v>1.5695833333333333</v>
      </c>
      <c r="G215" s="72">
        <f t="shared" si="11"/>
        <v>37</v>
      </c>
      <c r="H215" s="78">
        <f t="shared" si="12"/>
        <v>40</v>
      </c>
      <c r="I215" s="72">
        <f t="shared" si="13"/>
        <v>240</v>
      </c>
      <c r="J215" s="72">
        <f t="shared" si="14"/>
        <v>140.625</v>
      </c>
    </row>
    <row r="216" spans="1:10" ht="12.75">
      <c r="A216" s="19">
        <v>54</v>
      </c>
      <c r="B216" s="1" t="s">
        <v>1420</v>
      </c>
      <c r="C216" s="2" t="s">
        <v>1030</v>
      </c>
      <c r="D216" s="1"/>
      <c r="E216" s="28">
        <v>1.5731018518518518</v>
      </c>
      <c r="G216" s="72">
        <f t="shared" si="11"/>
        <v>37</v>
      </c>
      <c r="H216" s="78">
        <f t="shared" si="12"/>
        <v>45</v>
      </c>
      <c r="I216" s="72">
        <f t="shared" si="13"/>
        <v>235</v>
      </c>
      <c r="J216" s="72">
        <f t="shared" si="14"/>
        <v>135.859375</v>
      </c>
    </row>
    <row r="217" spans="1:10" ht="12.75">
      <c r="A217" s="19">
        <v>55</v>
      </c>
      <c r="B217" t="s">
        <v>1404</v>
      </c>
      <c r="C217" s="1" t="s">
        <v>1450</v>
      </c>
      <c r="D217" s="38"/>
      <c r="E217" s="28">
        <v>1.5733564814814816</v>
      </c>
      <c r="G217" s="72">
        <f t="shared" si="11"/>
        <v>37</v>
      </c>
      <c r="H217" s="78">
        <f t="shared" si="12"/>
        <v>45</v>
      </c>
      <c r="I217" s="72">
        <f t="shared" si="13"/>
        <v>235</v>
      </c>
      <c r="J217" s="72">
        <f t="shared" si="14"/>
        <v>134.0234375</v>
      </c>
    </row>
    <row r="218" spans="1:10" ht="12.75">
      <c r="A218" s="19">
        <v>56</v>
      </c>
      <c r="B218" s="1" t="s">
        <v>1397</v>
      </c>
      <c r="C218" s="1" t="s">
        <v>1458</v>
      </c>
      <c r="D218" s="28"/>
      <c r="E218" s="28">
        <v>1.580486111111111</v>
      </c>
      <c r="G218" s="72">
        <f t="shared" si="11"/>
        <v>37</v>
      </c>
      <c r="H218" s="78">
        <f t="shared" si="12"/>
        <v>55</v>
      </c>
      <c r="I218" s="72">
        <f t="shared" si="13"/>
        <v>225</v>
      </c>
      <c r="J218" s="72">
        <f t="shared" si="14"/>
        <v>126.5625</v>
      </c>
    </row>
    <row r="219" spans="1:10" ht="12.75">
      <c r="A219" s="19">
        <v>57</v>
      </c>
      <c r="B219" s="21" t="s">
        <v>1422</v>
      </c>
      <c r="C219" s="19" t="s">
        <v>1031</v>
      </c>
      <c r="D219" s="21"/>
      <c r="E219" s="28">
        <v>1.5833912037037037</v>
      </c>
      <c r="G219" s="72">
        <f t="shared" si="11"/>
        <v>38</v>
      </c>
      <c r="H219" s="78">
        <f t="shared" si="12"/>
        <v>0</v>
      </c>
      <c r="I219" s="72">
        <f t="shared" si="13"/>
        <v>220</v>
      </c>
      <c r="J219" s="72">
        <f t="shared" si="14"/>
        <v>122.03125</v>
      </c>
    </row>
    <row r="220" spans="1:10" ht="12.75">
      <c r="A220" s="19">
        <v>58</v>
      </c>
      <c r="B220" s="1" t="s">
        <v>1408</v>
      </c>
      <c r="C220" s="2" t="s">
        <v>1437</v>
      </c>
      <c r="D220" s="28"/>
      <c r="E220" s="28">
        <v>1.5911689814814816</v>
      </c>
      <c r="G220" s="72">
        <f t="shared" si="11"/>
        <v>38</v>
      </c>
      <c r="H220" s="78">
        <f t="shared" si="12"/>
        <v>11</v>
      </c>
      <c r="I220" s="72">
        <f t="shared" si="13"/>
        <v>209</v>
      </c>
      <c r="J220" s="72">
        <f t="shared" si="14"/>
        <v>114.296875</v>
      </c>
    </row>
    <row r="221" spans="1:10" ht="12.75">
      <c r="A221" s="19">
        <v>59</v>
      </c>
      <c r="B221" t="s">
        <v>1400</v>
      </c>
      <c r="C221" s="2" t="s">
        <v>1452</v>
      </c>
      <c r="D221" s="28"/>
      <c r="E221" s="28">
        <v>1.597337962962963</v>
      </c>
      <c r="G221" s="72">
        <f t="shared" si="11"/>
        <v>38</v>
      </c>
      <c r="H221" s="78">
        <f t="shared" si="12"/>
        <v>20</v>
      </c>
      <c r="I221" s="72">
        <f t="shared" si="13"/>
        <v>200</v>
      </c>
      <c r="J221" s="72">
        <f t="shared" si="14"/>
        <v>107.8125</v>
      </c>
    </row>
    <row r="222" spans="1:10" ht="12.75">
      <c r="A222" s="19">
        <v>60</v>
      </c>
      <c r="B222" s="20" t="s">
        <v>1424</v>
      </c>
      <c r="C222" s="1" t="s">
        <v>1033</v>
      </c>
      <c r="D222" s="28"/>
      <c r="E222" s="28">
        <v>1.5987962962962963</v>
      </c>
      <c r="G222" s="72">
        <f t="shared" si="11"/>
        <v>38</v>
      </c>
      <c r="H222" s="78">
        <f t="shared" si="12"/>
        <v>22</v>
      </c>
      <c r="I222" s="72">
        <f t="shared" si="13"/>
        <v>198</v>
      </c>
      <c r="J222" s="72">
        <f t="shared" si="14"/>
        <v>105.1875</v>
      </c>
    </row>
    <row r="223" spans="1:10" ht="12.75">
      <c r="A223" s="19">
        <v>61</v>
      </c>
      <c r="B223" s="1" t="s">
        <v>1425</v>
      </c>
      <c r="C223" s="2" t="s">
        <v>1034</v>
      </c>
      <c r="D223" s="28"/>
      <c r="E223" s="28">
        <v>1.5994328703703704</v>
      </c>
      <c r="G223" s="72">
        <f t="shared" si="11"/>
        <v>38</v>
      </c>
      <c r="H223" s="78">
        <f t="shared" si="12"/>
        <v>23</v>
      </c>
      <c r="I223" s="72">
        <f t="shared" si="13"/>
        <v>197</v>
      </c>
      <c r="J223" s="72">
        <f t="shared" si="14"/>
        <v>103.1171875</v>
      </c>
    </row>
    <row r="224" spans="1:10" ht="12.75">
      <c r="A224" s="19">
        <v>62</v>
      </c>
      <c r="B224" s="2" t="s">
        <v>1414</v>
      </c>
      <c r="C224" s="2" t="s">
        <v>1027</v>
      </c>
      <c r="D224" s="2"/>
      <c r="E224" s="28">
        <v>1.6008333333333333</v>
      </c>
      <c r="G224" s="72">
        <f t="shared" si="11"/>
        <v>38</v>
      </c>
      <c r="H224" s="78">
        <f t="shared" si="12"/>
        <v>25</v>
      </c>
      <c r="I224" s="72">
        <f t="shared" si="13"/>
        <v>195</v>
      </c>
      <c r="J224" s="72">
        <f t="shared" si="14"/>
        <v>100.546875</v>
      </c>
    </row>
    <row r="225" spans="1:10" ht="12.75">
      <c r="A225" s="19">
        <v>63</v>
      </c>
      <c r="B225" s="20" t="s">
        <v>1423</v>
      </c>
      <c r="C225" s="2" t="s">
        <v>1032</v>
      </c>
      <c r="D225" s="1"/>
      <c r="E225" s="28">
        <v>1.6112384259259258</v>
      </c>
      <c r="G225" s="72">
        <f t="shared" si="11"/>
        <v>38</v>
      </c>
      <c r="H225" s="78">
        <f t="shared" si="12"/>
        <v>40</v>
      </c>
      <c r="I225" s="72">
        <f t="shared" si="13"/>
        <v>180</v>
      </c>
      <c r="J225" s="72">
        <f t="shared" si="14"/>
        <v>91.40625</v>
      </c>
    </row>
    <row r="226" spans="1:10" ht="12.75">
      <c r="A226" s="19">
        <v>64</v>
      </c>
      <c r="B226" s="102" t="s">
        <v>1373</v>
      </c>
      <c r="C226" s="1" t="s">
        <v>1430</v>
      </c>
      <c r="D226" s="28"/>
      <c r="E226" s="28">
        <v>1.6164930555555557</v>
      </c>
      <c r="G226" s="72">
        <f t="shared" si="11"/>
        <v>38</v>
      </c>
      <c r="H226" s="78">
        <f t="shared" si="12"/>
        <v>47</v>
      </c>
      <c r="I226" s="72">
        <f t="shared" si="13"/>
        <v>173</v>
      </c>
      <c r="J226" s="72">
        <f t="shared" si="14"/>
        <v>86.5</v>
      </c>
    </row>
    <row r="227" spans="1:5" ht="12.75">
      <c r="A227" s="100"/>
      <c r="B227" s="1"/>
      <c r="C227" s="1"/>
      <c r="D227" s="1"/>
      <c r="E227" s="38"/>
    </row>
    <row r="230" spans="2:4" ht="12.75">
      <c r="B230" s="126" t="s">
        <v>1467</v>
      </c>
      <c r="C230" s="126"/>
      <c r="D230" s="126"/>
    </row>
    <row r="231" spans="1:9" ht="12.75">
      <c r="A231" s="128" t="s">
        <v>1474</v>
      </c>
      <c r="B231" s="128"/>
      <c r="C231" s="128"/>
      <c r="D231" s="128"/>
      <c r="H231" s="72" t="str">
        <f>CONCATENATE(A231,". ",B231,"  ",C231)</f>
        <v>Забіг № 1 (13 жовтня, чт, 17:00). Iталiя (Рим).   </v>
      </c>
      <c r="I231" s="54"/>
    </row>
    <row r="232" spans="1:9" ht="12.75">
      <c r="A232" s="1" t="s">
        <v>940</v>
      </c>
      <c r="B232" s="1" t="s">
        <v>958</v>
      </c>
      <c r="C232" s="1" t="s">
        <v>577</v>
      </c>
      <c r="D232" s="1" t="s">
        <v>578</v>
      </c>
      <c r="E232" s="38" t="s">
        <v>28</v>
      </c>
      <c r="H232" s="72" t="str">
        <f>CONCATENATE(A232,". ",B232,"  ",C232)</f>
        <v>№. І.П.рік нар.  Країна</v>
      </c>
      <c r="I232" s="54" t="str">
        <f>E232</f>
        <v>ЧАС</v>
      </c>
    </row>
    <row r="233" spans="1:9" ht="12.75">
      <c r="A233" s="1">
        <v>1</v>
      </c>
      <c r="B233" s="38" t="s">
        <v>1337</v>
      </c>
      <c r="C233" s="60" t="s">
        <v>843</v>
      </c>
      <c r="D233" s="54"/>
      <c r="E233" s="54">
        <v>1.323125</v>
      </c>
      <c r="H233" s="72" t="str">
        <f aca="true" t="shared" si="15" ref="H233:H296">CONCATENATE(A233,". ",B233,"  ",C233)</f>
        <v>1. Деян Поварна (1983)  Боснія</v>
      </c>
      <c r="I233" s="54">
        <f aca="true" t="shared" si="16" ref="I233:I295">E233</f>
        <v>1.323125</v>
      </c>
    </row>
    <row r="234" spans="1:9" ht="12.75">
      <c r="A234" s="1">
        <v>2</v>
      </c>
      <c r="B234" s="19" t="s">
        <v>1354</v>
      </c>
      <c r="C234" s="19" t="s">
        <v>1472</v>
      </c>
      <c r="D234" s="21"/>
      <c r="E234" s="28">
        <v>1.4238194444444445</v>
      </c>
      <c r="H234" s="72" t="str">
        <f t="shared" si="15"/>
        <v>2. Марас Касмiполас (1988)  Литва</v>
      </c>
      <c r="I234" s="54">
        <f t="shared" si="16"/>
        <v>1.4238194444444445</v>
      </c>
    </row>
    <row r="235" spans="1:9" ht="12.75">
      <c r="A235" s="1">
        <v>3</v>
      </c>
      <c r="B235" s="100" t="s">
        <v>1308</v>
      </c>
      <c r="C235" s="21" t="s">
        <v>1443</v>
      </c>
      <c r="D235" s="60"/>
      <c r="E235" s="28">
        <v>1.4251157407407407</v>
      </c>
      <c r="H235" s="72" t="str">
        <f t="shared" si="15"/>
        <v>3. Ротiмар Стаiч (1988)  Хорватiя</v>
      </c>
      <c r="I235" s="54">
        <f t="shared" si="16"/>
        <v>1.4251157407407407</v>
      </c>
    </row>
    <row r="236" spans="1:9" ht="12.75">
      <c r="A236" s="1">
        <v>4</v>
      </c>
      <c r="B236" s="1" t="s">
        <v>1340</v>
      </c>
      <c r="C236" s="1" t="s">
        <v>595</v>
      </c>
      <c r="D236" s="1"/>
      <c r="E236" s="28">
        <v>1.4251157407407407</v>
      </c>
      <c r="H236" s="72" t="str">
        <f t="shared" si="15"/>
        <v>4. Разван Греску (1987)  Румунія</v>
      </c>
      <c r="I236" s="54">
        <f t="shared" si="16"/>
        <v>1.4251157407407407</v>
      </c>
    </row>
    <row r="237" spans="1:9" ht="12.75">
      <c r="A237" s="1">
        <v>5</v>
      </c>
      <c r="B237" s="21" t="s">
        <v>1333</v>
      </c>
      <c r="C237" s="19" t="s">
        <v>1018</v>
      </c>
      <c r="D237" s="2"/>
      <c r="E237" s="28">
        <v>1.4335532407407408</v>
      </c>
      <c r="H237" s="72" t="str">
        <f t="shared" si="15"/>
        <v>5. Олен Гуліч (1984)  Чорногорія</v>
      </c>
      <c r="I237" s="54">
        <f t="shared" si="16"/>
        <v>1.4335532407407408</v>
      </c>
    </row>
    <row r="238" spans="1:9" ht="12.75">
      <c r="A238" s="1">
        <v>6</v>
      </c>
      <c r="B238" s="1" t="s">
        <v>1325</v>
      </c>
      <c r="C238" s="2" t="s">
        <v>1470</v>
      </c>
      <c r="D238" s="2"/>
      <c r="E238" s="28">
        <v>1.447337962962963</v>
      </c>
      <c r="H238" s="72" t="str">
        <f t="shared" si="15"/>
        <v>6. Енді Маркуша (1986)  Великобританiя</v>
      </c>
      <c r="I238" s="54">
        <f t="shared" si="16"/>
        <v>1.447337962962963</v>
      </c>
    </row>
    <row r="239" spans="1:9" ht="12.75">
      <c r="A239" s="1">
        <v>7</v>
      </c>
      <c r="B239" s="19" t="s">
        <v>1312</v>
      </c>
      <c r="C239" s="19" t="s">
        <v>1447</v>
      </c>
      <c r="D239" s="21"/>
      <c r="E239" s="28">
        <v>1.4660879629629628</v>
      </c>
      <c r="H239" s="72" t="str">
        <f t="shared" si="15"/>
        <v>7. Дарiо Мангалеттi (1986)  Iталiя</v>
      </c>
      <c r="I239" s="54">
        <f t="shared" si="16"/>
        <v>1.4660879629629628</v>
      </c>
    </row>
    <row r="240" spans="1:9" ht="12.75">
      <c r="A240" s="1">
        <v>8</v>
      </c>
      <c r="B240" s="19" t="s">
        <v>1369</v>
      </c>
      <c r="C240" s="19" t="s">
        <v>1455</v>
      </c>
      <c r="D240" s="19"/>
      <c r="E240" s="28">
        <v>1.4978935185185185</v>
      </c>
      <c r="H240" s="72" t="str">
        <f t="shared" si="15"/>
        <v>8. Марк Хартлен (1985)  Iрландiя</v>
      </c>
      <c r="I240" s="54">
        <f t="shared" si="16"/>
        <v>1.4978935185185185</v>
      </c>
    </row>
    <row r="241" spans="8:9" ht="12.75">
      <c r="H241" s="72" t="str">
        <f t="shared" si="15"/>
        <v>.   </v>
      </c>
      <c r="I241" s="54"/>
    </row>
    <row r="242" spans="1:9" ht="12.75">
      <c r="A242" s="128" t="s">
        <v>1475</v>
      </c>
      <c r="B242" s="128"/>
      <c r="C242" s="128"/>
      <c r="D242" s="128"/>
      <c r="H242" s="72" t="str">
        <f t="shared" si="15"/>
        <v>Забіг № 2 (13 жовтня, чт, 18:00). Португалiя (Лiсабон).   </v>
      </c>
      <c r="I242" s="54"/>
    </row>
    <row r="243" spans="1:9" ht="12.75">
      <c r="A243" s="1" t="s">
        <v>940</v>
      </c>
      <c r="B243" s="1" t="s">
        <v>958</v>
      </c>
      <c r="C243" s="1" t="s">
        <v>577</v>
      </c>
      <c r="D243" s="1" t="s">
        <v>578</v>
      </c>
      <c r="E243" s="38" t="s">
        <v>28</v>
      </c>
      <c r="H243" s="72" t="str">
        <f t="shared" si="15"/>
        <v>№. І.П.рік нар.  Країна</v>
      </c>
      <c r="I243" s="54" t="str">
        <f t="shared" si="16"/>
        <v>ЧАС</v>
      </c>
    </row>
    <row r="244" spans="1:9" ht="12.75">
      <c r="A244" s="1">
        <v>1</v>
      </c>
      <c r="B244" s="60" t="s">
        <v>1295</v>
      </c>
      <c r="C244" s="60" t="s">
        <v>1433</v>
      </c>
      <c r="D244" s="38"/>
      <c r="E244" s="54">
        <v>1.2966550925925926</v>
      </c>
      <c r="H244" s="72" t="str">
        <f t="shared" si="15"/>
        <v>1. Жозе Драгi (1988)  Португалiя</v>
      </c>
      <c r="I244" s="54">
        <f t="shared" si="16"/>
        <v>1.2966550925925926</v>
      </c>
    </row>
    <row r="245" spans="1:9" ht="12.75">
      <c r="A245" s="1">
        <v>2</v>
      </c>
      <c r="B245" s="21" t="s">
        <v>1368</v>
      </c>
      <c r="C245" s="1" t="s">
        <v>1455</v>
      </c>
      <c r="D245" s="28"/>
      <c r="E245" s="28">
        <v>1.3520949074074073</v>
      </c>
      <c r="H245" s="72" t="str">
        <f t="shared" si="15"/>
        <v>2. Роббі Кіслей (1986)  Iрландiя</v>
      </c>
      <c r="I245" s="54">
        <f t="shared" si="16"/>
        <v>1.3520949074074073</v>
      </c>
    </row>
    <row r="246" spans="1:9" ht="12.75">
      <c r="A246" s="1">
        <v>3</v>
      </c>
      <c r="B246" s="21" t="s">
        <v>971</v>
      </c>
      <c r="C246" s="19" t="s">
        <v>593</v>
      </c>
      <c r="D246" s="1"/>
      <c r="E246" s="28">
        <v>1.3758333333333335</v>
      </c>
      <c r="H246" s="72" t="str">
        <f t="shared" si="15"/>
        <v>3. Валерій Морозюк (1986)  Україна</v>
      </c>
      <c r="I246" s="54">
        <f t="shared" si="16"/>
        <v>1.3758333333333335</v>
      </c>
    </row>
    <row r="247" spans="1:9" ht="12.75">
      <c r="A247" s="1">
        <v>4</v>
      </c>
      <c r="B247" s="102" t="s">
        <v>1293</v>
      </c>
      <c r="C247" s="2" t="s">
        <v>1426</v>
      </c>
      <c r="D247" s="2"/>
      <c r="E247" s="28">
        <v>1.3931712962962963</v>
      </c>
      <c r="H247" s="72" t="str">
        <f t="shared" si="15"/>
        <v>4. Едвiн Ван Кастель (1987)  Голандiя</v>
      </c>
      <c r="I247" s="54">
        <f t="shared" si="16"/>
        <v>1.3931712962962963</v>
      </c>
    </row>
    <row r="248" spans="1:9" ht="12.75">
      <c r="A248" s="1">
        <v>5</v>
      </c>
      <c r="B248" s="1" t="s">
        <v>1326</v>
      </c>
      <c r="C248" s="2" t="s">
        <v>1470</v>
      </c>
      <c r="D248" s="19"/>
      <c r="E248" s="28">
        <v>1.4244212962962963</v>
      </c>
      <c r="H248" s="72" t="str">
        <f t="shared" si="15"/>
        <v>5. Брайан Рiчардс (1988)  Великобританiя</v>
      </c>
      <c r="I248" s="54">
        <f t="shared" si="16"/>
        <v>1.4244212962962963</v>
      </c>
    </row>
    <row r="249" spans="1:9" ht="12.75">
      <c r="A249" s="1">
        <v>6</v>
      </c>
      <c r="B249" s="1" t="s">
        <v>1377</v>
      </c>
      <c r="C249" s="1" t="s">
        <v>1451</v>
      </c>
      <c r="D249" s="1"/>
      <c r="E249" s="28">
        <v>1.455</v>
      </c>
      <c r="H249" s="72" t="str">
        <f t="shared" si="15"/>
        <v>6. Євген Шертюкевич (1985)  Бiлорусiя</v>
      </c>
      <c r="I249" s="54">
        <f t="shared" si="16"/>
        <v>1.455</v>
      </c>
    </row>
    <row r="250" spans="1:9" ht="12.75">
      <c r="A250" s="1">
        <v>7</v>
      </c>
      <c r="B250" s="2" t="s">
        <v>1316</v>
      </c>
      <c r="C250" s="1" t="s">
        <v>589</v>
      </c>
      <c r="D250" s="28"/>
      <c r="E250" s="28">
        <v>1.4717592592592592</v>
      </c>
      <c r="H250" s="72" t="str">
        <f t="shared" si="15"/>
        <v>7. Iлля Бретший (1987)  Польща</v>
      </c>
      <c r="I250" s="54">
        <f t="shared" si="16"/>
        <v>1.4717592592592592</v>
      </c>
    </row>
    <row r="251" spans="1:9" ht="12.75">
      <c r="A251" s="1">
        <v>8</v>
      </c>
      <c r="B251" s="19" t="s">
        <v>1395</v>
      </c>
      <c r="C251" s="19" t="s">
        <v>1458</v>
      </c>
      <c r="D251" s="19"/>
      <c r="E251" s="28">
        <v>1.4723495370370372</v>
      </c>
      <c r="H251" s="72" t="str">
        <f t="shared" si="15"/>
        <v>8. Лукаш Нівіо (1984)  Швейцарiя</v>
      </c>
      <c r="I251" s="54">
        <f t="shared" si="16"/>
        <v>1.4723495370370372</v>
      </c>
    </row>
    <row r="252" spans="8:9" ht="12.75">
      <c r="H252" s="72" t="str">
        <f t="shared" si="15"/>
        <v>.   </v>
      </c>
      <c r="I252" s="54"/>
    </row>
    <row r="253" spans="1:9" ht="12.75">
      <c r="A253" s="128" t="s">
        <v>1476</v>
      </c>
      <c r="B253" s="128"/>
      <c r="C253" s="128"/>
      <c r="D253" s="128"/>
      <c r="H253" s="72" t="str">
        <f t="shared" si="15"/>
        <v>Забіг № 3 (14 жовтня, пт, 17:00). Угорщина (Будапешт).   </v>
      </c>
      <c r="I253" s="54"/>
    </row>
    <row r="254" spans="1:9" ht="12.75">
      <c r="A254" s="1" t="s">
        <v>940</v>
      </c>
      <c r="B254" s="1" t="s">
        <v>958</v>
      </c>
      <c r="C254" s="1" t="s">
        <v>577</v>
      </c>
      <c r="D254" s="1" t="s">
        <v>578</v>
      </c>
      <c r="E254" s="38" t="s">
        <v>28</v>
      </c>
      <c r="H254" s="72" t="str">
        <f t="shared" si="15"/>
        <v>№. І.П.рік нар.  Країна</v>
      </c>
      <c r="I254" s="54" t="str">
        <f t="shared" si="16"/>
        <v>ЧАС</v>
      </c>
    </row>
    <row r="255" spans="1:9" ht="12.75">
      <c r="A255" s="19">
        <v>1</v>
      </c>
      <c r="B255" s="60" t="s">
        <v>1339</v>
      </c>
      <c r="C255" s="60" t="s">
        <v>1461</v>
      </c>
      <c r="D255" s="1"/>
      <c r="E255" s="54">
        <v>1.3300925925925926</v>
      </c>
      <c r="H255" s="72" t="str">
        <f t="shared" si="15"/>
        <v>1. Мірча Анденеску (1986)  Румунiя</v>
      </c>
      <c r="I255" s="54">
        <f t="shared" si="16"/>
        <v>1.3300925925925926</v>
      </c>
    </row>
    <row r="256" spans="1:9" ht="12.75">
      <c r="A256" s="1">
        <v>2</v>
      </c>
      <c r="B256" s="21" t="s">
        <v>990</v>
      </c>
      <c r="C256" s="19" t="s">
        <v>593</v>
      </c>
      <c r="D256" s="60"/>
      <c r="E256" s="28">
        <v>1.3716435185185185</v>
      </c>
      <c r="H256" s="72" t="str">
        <f t="shared" si="15"/>
        <v>2. Олег Зебра (1983)  Україна</v>
      </c>
      <c r="I256" s="54">
        <f t="shared" si="16"/>
        <v>1.3716435185185185</v>
      </c>
    </row>
    <row r="257" spans="1:9" ht="12.75">
      <c r="A257" s="1">
        <v>3</v>
      </c>
      <c r="B257" s="19" t="s">
        <v>1309</v>
      </c>
      <c r="C257" s="19" t="s">
        <v>1443</v>
      </c>
      <c r="D257" s="19"/>
      <c r="E257" s="28">
        <v>1.375011574074074</v>
      </c>
      <c r="H257" s="72" t="str">
        <f t="shared" si="15"/>
        <v>3. Марко Лiанiч (1987)  Хорватiя</v>
      </c>
      <c r="I257" s="54">
        <f t="shared" si="16"/>
        <v>1.375011574074074</v>
      </c>
    </row>
    <row r="258" spans="1:9" ht="12.75">
      <c r="A258" s="1">
        <v>4</v>
      </c>
      <c r="B258" s="19" t="s">
        <v>1319</v>
      </c>
      <c r="C258" s="19" t="s">
        <v>1469</v>
      </c>
      <c r="D258" s="19"/>
      <c r="E258" s="28">
        <v>1.3868055555555554</v>
      </c>
      <c r="H258" s="72" t="str">
        <f t="shared" si="15"/>
        <v>4. Павел Явшинек (1988)  Чехiя</v>
      </c>
      <c r="I258" s="54">
        <f t="shared" si="16"/>
        <v>1.3868055555555554</v>
      </c>
    </row>
    <row r="259" spans="1:9" ht="12.75">
      <c r="A259" s="1">
        <v>5</v>
      </c>
      <c r="B259" s="20" t="s">
        <v>1332</v>
      </c>
      <c r="C259" s="2" t="s">
        <v>627</v>
      </c>
      <c r="D259" s="2"/>
      <c r="E259" s="28">
        <v>1.4133333333333333</v>
      </c>
      <c r="H259" s="72" t="str">
        <f t="shared" si="15"/>
        <v>5. Йозеф Мiлкоон (1987)  Угорщина</v>
      </c>
      <c r="I259" s="54">
        <f t="shared" si="16"/>
        <v>1.4133333333333333</v>
      </c>
    </row>
    <row r="260" spans="1:9" ht="12.75">
      <c r="A260" s="1">
        <v>6</v>
      </c>
      <c r="B260" s="1" t="s">
        <v>1383</v>
      </c>
      <c r="C260" s="1" t="s">
        <v>1438</v>
      </c>
      <c r="D260" s="28"/>
      <c r="E260" s="28">
        <v>1.4907407407407407</v>
      </c>
      <c r="H260" s="72" t="str">
        <f t="shared" si="15"/>
        <v>6. Оман Зеде (1985)  Албанiя</v>
      </c>
      <c r="I260" s="54">
        <f t="shared" si="16"/>
        <v>1.4907407407407407</v>
      </c>
    </row>
    <row r="261" spans="1:9" ht="12.75">
      <c r="A261" s="1">
        <v>7</v>
      </c>
      <c r="B261" s="87" t="s">
        <v>1378</v>
      </c>
      <c r="C261" s="1" t="s">
        <v>1451</v>
      </c>
      <c r="D261" s="19"/>
      <c r="E261" s="28">
        <v>1.5000925925925925</v>
      </c>
      <c r="H261" s="72" t="str">
        <f t="shared" si="15"/>
        <v>7. Антон Мiлiшко (1988)  Бiлорусiя</v>
      </c>
      <c r="I261" s="54">
        <f t="shared" si="16"/>
        <v>1.5000925925925925</v>
      </c>
    </row>
    <row r="262" spans="1:9" ht="12.75">
      <c r="A262" s="1">
        <v>8</v>
      </c>
      <c r="B262" s="21" t="s">
        <v>1374</v>
      </c>
      <c r="C262" s="19" t="s">
        <v>1429</v>
      </c>
      <c r="D262" s="38"/>
      <c r="E262" s="28">
        <v>1.5064583333333335</v>
      </c>
      <c r="H262" s="72" t="str">
        <f t="shared" si="15"/>
        <v>8. Ігорс Сауседас (1986)  Латвiя</v>
      </c>
      <c r="I262" s="54">
        <f t="shared" si="16"/>
        <v>1.5064583333333335</v>
      </c>
    </row>
    <row r="263" spans="8:9" ht="12.75">
      <c r="H263" s="72" t="str">
        <f t="shared" si="15"/>
        <v>.   </v>
      </c>
      <c r="I263" s="54"/>
    </row>
    <row r="264" spans="1:9" ht="12.75">
      <c r="A264" s="128" t="s">
        <v>1477</v>
      </c>
      <c r="B264" s="128"/>
      <c r="C264" s="128"/>
      <c r="D264" s="128"/>
      <c r="H264" s="72" t="str">
        <f t="shared" si="15"/>
        <v>Забіг № 4 (14 жовтня, пт, 18:00). Францiя (Марсель).   </v>
      </c>
      <c r="I264" s="54"/>
    </row>
    <row r="265" spans="1:9" ht="12.75">
      <c r="A265" s="1" t="s">
        <v>940</v>
      </c>
      <c r="B265" s="1" t="s">
        <v>958</v>
      </c>
      <c r="C265" s="1" t="s">
        <v>577</v>
      </c>
      <c r="D265" s="1" t="s">
        <v>578</v>
      </c>
      <c r="E265" s="38" t="s">
        <v>28</v>
      </c>
      <c r="H265" s="72" t="str">
        <f t="shared" si="15"/>
        <v>№. І.П.рік нар.  Країна</v>
      </c>
      <c r="I265" s="54" t="str">
        <f t="shared" si="16"/>
        <v>ЧАС</v>
      </c>
    </row>
    <row r="266" spans="1:9" ht="12.75">
      <c r="A266" s="19">
        <v>1</v>
      </c>
      <c r="B266" s="60" t="s">
        <v>1305</v>
      </c>
      <c r="C266" s="60" t="s">
        <v>1468</v>
      </c>
      <c r="D266" s="60"/>
      <c r="E266" s="54">
        <v>1.3313657407407409</v>
      </c>
      <c r="H266" s="72" t="str">
        <f t="shared" si="15"/>
        <v>1. Жан Крено (1988)  Францiя</v>
      </c>
      <c r="I266" s="54">
        <f t="shared" si="16"/>
        <v>1.3313657407407409</v>
      </c>
    </row>
    <row r="267" spans="1:9" ht="12.75">
      <c r="A267" s="1">
        <v>2</v>
      </c>
      <c r="B267" s="111" t="s">
        <v>1300</v>
      </c>
      <c r="C267" s="21" t="s">
        <v>1440</v>
      </c>
      <c r="D267" s="60"/>
      <c r="E267" s="28">
        <v>1.333414351851852</v>
      </c>
      <c r="H267" s="72" t="str">
        <f t="shared" si="15"/>
        <v>2. Роберто Кова (1985)  Iспанiя</v>
      </c>
      <c r="I267" s="54">
        <f t="shared" si="16"/>
        <v>1.333414351851852</v>
      </c>
    </row>
    <row r="268" spans="1:9" ht="12.75">
      <c r="A268" s="1">
        <v>3</v>
      </c>
      <c r="B268" s="1" t="s">
        <v>1345</v>
      </c>
      <c r="C268" s="1" t="s">
        <v>1444</v>
      </c>
      <c r="D268" s="1"/>
      <c r="E268" s="28">
        <v>1.3869791666666667</v>
      </c>
      <c r="H268" s="72" t="str">
        <f t="shared" si="15"/>
        <v>3. Сергiй Бiлов (1988)  Росiя</v>
      </c>
      <c r="I268" s="54">
        <f t="shared" si="16"/>
        <v>1.3869791666666667</v>
      </c>
    </row>
    <row r="269" spans="1:9" ht="12.75">
      <c r="A269" s="1">
        <v>4</v>
      </c>
      <c r="B269" s="19" t="s">
        <v>1338</v>
      </c>
      <c r="C269" s="19" t="s">
        <v>1427</v>
      </c>
      <c r="D269" s="19"/>
      <c r="E269" s="28">
        <v>1.4237384259259258</v>
      </c>
      <c r="H269" s="72" t="str">
        <f t="shared" si="15"/>
        <v>4. Звєздан Кладіміч (1985)  Боснiя</v>
      </c>
      <c r="I269" s="54">
        <f t="shared" si="16"/>
        <v>1.4237384259259258</v>
      </c>
    </row>
    <row r="270" spans="1:9" ht="12.75">
      <c r="A270" s="1">
        <v>5</v>
      </c>
      <c r="B270" s="20" t="s">
        <v>1351</v>
      </c>
      <c r="C270" s="19" t="s">
        <v>1462</v>
      </c>
      <c r="D270" s="38"/>
      <c r="E270" s="28">
        <v>1.4660879629629628</v>
      </c>
      <c r="H270" s="72" t="str">
        <f t="shared" si="15"/>
        <v>5. Деян Філітовіч (1984)  Словенiя</v>
      </c>
      <c r="I270" s="54">
        <f t="shared" si="16"/>
        <v>1.4660879629629628</v>
      </c>
    </row>
    <row r="271" spans="1:9" ht="12.75">
      <c r="A271" s="1">
        <v>6</v>
      </c>
      <c r="B271" s="87" t="s">
        <v>1372</v>
      </c>
      <c r="C271" s="21" t="s">
        <v>1430</v>
      </c>
      <c r="D271" s="19"/>
      <c r="E271" s="28">
        <v>1.4668865740740742</v>
      </c>
      <c r="H271" s="72" t="str">
        <f t="shared" si="15"/>
        <v>6. Андрес Сульзден (1988)  Норвегiя</v>
      </c>
      <c r="I271" s="54">
        <f t="shared" si="16"/>
        <v>1.4668865740740742</v>
      </c>
    </row>
    <row r="272" spans="1:9" ht="12.75">
      <c r="A272" s="1">
        <v>7</v>
      </c>
      <c r="B272" s="1" t="s">
        <v>1328</v>
      </c>
      <c r="C272" s="2" t="s">
        <v>1471</v>
      </c>
      <c r="D272" s="2"/>
      <c r="E272" s="28">
        <v>1.4687152777777779</v>
      </c>
      <c r="H272" s="72" t="str">
        <f t="shared" si="15"/>
        <v>7. Хайнц Бергур (1985)  Нiмеччина</v>
      </c>
      <c r="I272" s="54">
        <f t="shared" si="16"/>
        <v>1.4687152777777779</v>
      </c>
    </row>
    <row r="273" spans="1:9" ht="12.75">
      <c r="A273" s="1">
        <v>8</v>
      </c>
      <c r="B273" s="1" t="s">
        <v>1375</v>
      </c>
      <c r="C273" s="1" t="s">
        <v>1429</v>
      </c>
      <c r="D273" s="28"/>
      <c r="E273" s="28">
        <v>1.5307638888888888</v>
      </c>
      <c r="H273" s="72" t="str">
        <f t="shared" si="15"/>
        <v>8. Вікторас Кульзітос (1987)  Латвiя</v>
      </c>
      <c r="I273" s="54">
        <f t="shared" si="16"/>
        <v>1.5307638888888888</v>
      </c>
    </row>
    <row r="274" spans="8:9" ht="12.75">
      <c r="H274" s="72" t="str">
        <f t="shared" si="15"/>
        <v>.   </v>
      </c>
      <c r="I274" s="54"/>
    </row>
    <row r="275" spans="1:9" ht="12.75">
      <c r="A275" s="128" t="s">
        <v>1478</v>
      </c>
      <c r="B275" s="128"/>
      <c r="C275" s="128"/>
      <c r="D275" s="128"/>
      <c r="H275" s="72" t="str">
        <f t="shared" si="15"/>
        <v>Забіг № 5 (15 жовтня, сб, 17:00). Iспанiя. Валенсiя.   </v>
      </c>
      <c r="I275" s="54"/>
    </row>
    <row r="276" spans="1:9" ht="12.75">
      <c r="A276" s="1" t="s">
        <v>940</v>
      </c>
      <c r="B276" s="1" t="s">
        <v>958</v>
      </c>
      <c r="C276" s="1" t="s">
        <v>577</v>
      </c>
      <c r="D276" s="1" t="s">
        <v>578</v>
      </c>
      <c r="E276" s="38" t="s">
        <v>28</v>
      </c>
      <c r="H276" s="72" t="str">
        <f t="shared" si="15"/>
        <v>№. І.П.рік нар.  Країна</v>
      </c>
      <c r="I276" s="54" t="str">
        <f t="shared" si="16"/>
        <v>ЧАС</v>
      </c>
    </row>
    <row r="277" spans="1:9" ht="12.75">
      <c r="A277" s="19">
        <v>1</v>
      </c>
      <c r="B277" s="38" t="s">
        <v>1292</v>
      </c>
      <c r="C277" s="38" t="s">
        <v>1426</v>
      </c>
      <c r="D277" s="60"/>
      <c r="E277" s="54">
        <v>1.2994212962962963</v>
      </c>
      <c r="H277" s="72" t="str">
        <f t="shared" si="15"/>
        <v>1. Патрік Ланден (1984)  Голандiя</v>
      </c>
      <c r="I277" s="54">
        <f t="shared" si="16"/>
        <v>1.2994212962962963</v>
      </c>
    </row>
    <row r="278" spans="1:9" ht="12.75">
      <c r="A278" s="1">
        <v>2</v>
      </c>
      <c r="B278" s="20" t="s">
        <v>1348</v>
      </c>
      <c r="C278" s="19" t="s">
        <v>600</v>
      </c>
      <c r="D278" s="38"/>
      <c r="E278" s="28">
        <v>1.362025462962963</v>
      </c>
      <c r="H278" s="72" t="str">
        <f t="shared" si="15"/>
        <v>2. Йован Срет (1988)  Сербія</v>
      </c>
      <c r="I278" s="54">
        <f t="shared" si="16"/>
        <v>1.362025462962963</v>
      </c>
    </row>
    <row r="279" spans="1:9" ht="12.75">
      <c r="A279" s="1">
        <v>3</v>
      </c>
      <c r="B279" s="1" t="s">
        <v>1301</v>
      </c>
      <c r="C279" s="1" t="s">
        <v>1440</v>
      </c>
      <c r="D279" s="1"/>
      <c r="E279" s="28">
        <v>1.362314814814815</v>
      </c>
      <c r="H279" s="72" t="str">
        <f t="shared" si="15"/>
        <v>3. Фернандо Южбара (1987)  Iспанiя</v>
      </c>
      <c r="I279" s="54">
        <f t="shared" si="16"/>
        <v>1.362314814814815</v>
      </c>
    </row>
    <row r="280" spans="1:9" ht="12.75">
      <c r="A280" s="1">
        <v>4</v>
      </c>
      <c r="B280" s="20" t="s">
        <v>1346</v>
      </c>
      <c r="C280" s="2" t="s">
        <v>588</v>
      </c>
      <c r="D280" s="2"/>
      <c r="E280" s="28">
        <v>1.3641087962962963</v>
      </c>
      <c r="H280" s="72" t="str">
        <f t="shared" si="15"/>
        <v>4. Антон Пошахов (1988)  Росія</v>
      </c>
      <c r="I280" s="54">
        <f t="shared" si="16"/>
        <v>1.3641087962962963</v>
      </c>
    </row>
    <row r="281" spans="1:9" ht="12.75">
      <c r="A281" s="1">
        <v>5</v>
      </c>
      <c r="B281" t="s">
        <v>1371</v>
      </c>
      <c r="C281" s="21" t="s">
        <v>1430</v>
      </c>
      <c r="D281" s="19"/>
      <c r="E281" s="28">
        <v>1.4291087962962965</v>
      </c>
      <c r="H281" s="72" t="str">
        <f t="shared" si="15"/>
        <v>5. Крістіан Міхсшольд (1983)  Норвегiя</v>
      </c>
      <c r="I281" s="54">
        <f t="shared" si="16"/>
        <v>1.4291087962962965</v>
      </c>
    </row>
    <row r="282" spans="1:9" ht="12.75">
      <c r="A282" s="1">
        <v>6</v>
      </c>
      <c r="B282" s="1" t="s">
        <v>1384</v>
      </c>
      <c r="C282" s="1" t="s">
        <v>1438</v>
      </c>
      <c r="D282" s="28"/>
      <c r="E282" s="28">
        <v>1.4321643518518519</v>
      </c>
      <c r="H282" s="72" t="str">
        <f t="shared" si="15"/>
        <v>6. Дамiр Ламбан (1987)  Албанiя</v>
      </c>
      <c r="I282" s="54">
        <f t="shared" si="16"/>
        <v>1.4321643518518519</v>
      </c>
    </row>
    <row r="283" spans="1:9" ht="12.75">
      <c r="A283" s="1">
        <v>7</v>
      </c>
      <c r="B283" s="20" t="s">
        <v>1342</v>
      </c>
      <c r="C283" s="19" t="s">
        <v>596</v>
      </c>
      <c r="D283" s="19"/>
      <c r="E283" s="28">
        <v>1.4550810185185183</v>
      </c>
      <c r="H283" s="72" t="str">
        <f t="shared" si="15"/>
        <v>7. Радимір Машол (1983)  Словаччина</v>
      </c>
      <c r="I283" s="54">
        <f t="shared" si="16"/>
        <v>1.4550810185185183</v>
      </c>
    </row>
    <row r="284" spans="1:9" ht="12.75">
      <c r="A284" s="1">
        <v>8</v>
      </c>
      <c r="B284" s="19" t="s">
        <v>1313</v>
      </c>
      <c r="C284" s="19" t="s">
        <v>1447</v>
      </c>
      <c r="D284" s="19"/>
      <c r="E284" s="28">
        <v>1.5069444444444444</v>
      </c>
      <c r="H284" s="72" t="str">
        <f t="shared" si="15"/>
        <v>8. Фабiо Лiвардi (1987)  Iталiя</v>
      </c>
      <c r="I284" s="54">
        <f t="shared" si="16"/>
        <v>1.5069444444444444</v>
      </c>
    </row>
    <row r="285" spans="8:9" ht="12.75">
      <c r="H285" s="72" t="str">
        <f t="shared" si="15"/>
        <v>.   </v>
      </c>
      <c r="I285" s="54"/>
    </row>
    <row r="286" spans="1:9" ht="12.75">
      <c r="A286" s="128" t="s">
        <v>1479</v>
      </c>
      <c r="B286" s="128"/>
      <c r="C286" s="128"/>
      <c r="D286" s="128"/>
      <c r="H286" s="72" t="str">
        <f t="shared" si="15"/>
        <v>Забіг № 6 (15 жовтня, сб, 17:00). Бельгiя. Брюссель.   </v>
      </c>
      <c r="I286" s="54"/>
    </row>
    <row r="287" spans="1:9" ht="12.75">
      <c r="A287" s="1" t="s">
        <v>940</v>
      </c>
      <c r="B287" s="1" t="s">
        <v>958</v>
      </c>
      <c r="C287" s="1" t="s">
        <v>577</v>
      </c>
      <c r="D287" s="1" t="s">
        <v>578</v>
      </c>
      <c r="E287" s="38" t="s">
        <v>28</v>
      </c>
      <c r="H287" s="72" t="str">
        <f t="shared" si="15"/>
        <v>№. І.П.рік нар.  Країна</v>
      </c>
      <c r="I287" s="54" t="str">
        <f t="shared" si="16"/>
        <v>ЧАС</v>
      </c>
    </row>
    <row r="288" spans="1:9" ht="12.75">
      <c r="A288" s="19">
        <v>1</v>
      </c>
      <c r="B288" s="60" t="s">
        <v>1296</v>
      </c>
      <c r="C288" s="60" t="s">
        <v>1433</v>
      </c>
      <c r="D288" s="60"/>
      <c r="E288" s="54">
        <v>1.334849537037037</v>
      </c>
      <c r="H288" s="72" t="str">
        <f t="shared" si="15"/>
        <v>1. Роберто Суаресi (1988)  Португалiя</v>
      </c>
      <c r="I288" s="54">
        <f t="shared" si="16"/>
        <v>1.334849537037037</v>
      </c>
    </row>
    <row r="289" spans="1:9" ht="12.75">
      <c r="A289" s="1">
        <v>2</v>
      </c>
      <c r="B289" t="s">
        <v>1329</v>
      </c>
      <c r="C289" s="19" t="s">
        <v>1471</v>
      </c>
      <c r="D289" s="19"/>
      <c r="E289" s="28">
        <v>1.3695601851851853</v>
      </c>
      <c r="H289" s="72" t="str">
        <f t="shared" si="15"/>
        <v>2. Йохан Продольний (1988)  Нiмеччина</v>
      </c>
      <c r="I289" s="54">
        <f t="shared" si="16"/>
        <v>1.3695601851851853</v>
      </c>
    </row>
    <row r="290" spans="1:9" ht="12.75">
      <c r="A290" s="1">
        <v>3</v>
      </c>
      <c r="B290" s="21" t="s">
        <v>1299</v>
      </c>
      <c r="C290" s="21" t="s">
        <v>1440</v>
      </c>
      <c r="D290" s="60"/>
      <c r="E290" s="28">
        <v>1.3959606481481481</v>
      </c>
      <c r="H290" s="72" t="str">
        <f t="shared" si="15"/>
        <v>3. Фернандо Стадеро (1988)  Iспанiя</v>
      </c>
      <c r="I290" s="54">
        <f t="shared" si="16"/>
        <v>1.3959606481481481</v>
      </c>
    </row>
    <row r="291" spans="1:9" ht="12.75">
      <c r="A291" s="1">
        <v>4</v>
      </c>
      <c r="B291" s="2" t="s">
        <v>1381</v>
      </c>
      <c r="C291" s="19" t="s">
        <v>1445</v>
      </c>
      <c r="D291" s="2"/>
      <c r="E291" s="28">
        <v>1.4078587962962963</v>
      </c>
      <c r="H291" s="72" t="str">
        <f t="shared" si="15"/>
        <v>4. Георгіос Хлантініс (1984)  Грецiя</v>
      </c>
      <c r="I291" s="54">
        <f t="shared" si="16"/>
        <v>1.4078587962962963</v>
      </c>
    </row>
    <row r="292" spans="1:9" ht="12.75">
      <c r="A292" s="1">
        <v>5</v>
      </c>
      <c r="B292" s="1" t="s">
        <v>1401</v>
      </c>
      <c r="C292" s="1" t="s">
        <v>1431</v>
      </c>
      <c r="D292" s="28"/>
      <c r="E292" s="28">
        <v>1.4244212962962963</v>
      </c>
      <c r="H292" s="72" t="str">
        <f t="shared" si="15"/>
        <v>5. Автанділ Шапанідзе (1984)  Грузiя</v>
      </c>
      <c r="I292" s="54">
        <f t="shared" si="16"/>
        <v>1.4244212962962963</v>
      </c>
    </row>
    <row r="293" spans="1:9" ht="12.75">
      <c r="A293" s="1">
        <v>6</v>
      </c>
      <c r="B293" s="19" t="s">
        <v>1352</v>
      </c>
      <c r="C293" s="19" t="s">
        <v>1462</v>
      </c>
      <c r="D293" s="19"/>
      <c r="E293" s="28">
        <v>1.4625578703703705</v>
      </c>
      <c r="H293" s="72" t="str">
        <f t="shared" si="15"/>
        <v>6. Славолюб Кайдановіч (1986)  Словенiя</v>
      </c>
      <c r="I293" s="54">
        <f t="shared" si="16"/>
        <v>1.4625578703703705</v>
      </c>
    </row>
    <row r="294" spans="1:9" ht="12.75">
      <c r="A294" s="1">
        <v>7</v>
      </c>
      <c r="B294" s="87" t="s">
        <v>1398</v>
      </c>
      <c r="C294" s="21" t="s">
        <v>1452</v>
      </c>
      <c r="D294" s="19"/>
      <c r="E294" s="28">
        <v>1.4875925925925928</v>
      </c>
      <c r="H294" s="72" t="str">
        <f t="shared" si="15"/>
        <v>7. Ян Стапж (1988)  Бельгiя</v>
      </c>
      <c r="I294" s="54">
        <f t="shared" si="16"/>
        <v>1.4875925925925928</v>
      </c>
    </row>
    <row r="295" spans="1:9" ht="12.75">
      <c r="A295" s="1">
        <v>8</v>
      </c>
      <c r="B295" s="21" t="s">
        <v>1391</v>
      </c>
      <c r="C295" s="19" t="s">
        <v>1457</v>
      </c>
      <c r="D295" s="38"/>
      <c r="E295" s="28">
        <v>1.5292708333333334</v>
      </c>
      <c r="H295" s="72" t="str">
        <f t="shared" si="15"/>
        <v>8.  Тордер Лююлайнен (1982)  Фiнляндiя</v>
      </c>
      <c r="I295" s="54">
        <f t="shared" si="16"/>
        <v>1.5292708333333334</v>
      </c>
    </row>
    <row r="296" spans="8:9" ht="12.75">
      <c r="H296" s="72" t="str">
        <f t="shared" si="15"/>
        <v>.   </v>
      </c>
      <c r="I296" s="54"/>
    </row>
    <row r="297" spans="1:9" ht="12.75">
      <c r="A297" s="128" t="s">
        <v>1480</v>
      </c>
      <c r="B297" s="128"/>
      <c r="C297" s="128"/>
      <c r="D297" s="128"/>
      <c r="H297" s="72" t="str">
        <f aca="true" t="shared" si="17" ref="H297:H306">CONCATENATE(A297,". ",B297,"  ",C297)</f>
        <v>Забіг № 7 (15 жовтня, сб, 17:00). Болгарiя. Софiя.   </v>
      </c>
      <c r="I297" s="54"/>
    </row>
    <row r="298" spans="1:9" ht="12.75">
      <c r="A298" s="1" t="s">
        <v>940</v>
      </c>
      <c r="B298" s="1" t="s">
        <v>958</v>
      </c>
      <c r="C298" s="1" t="s">
        <v>577</v>
      </c>
      <c r="D298" s="1" t="s">
        <v>578</v>
      </c>
      <c r="E298" s="38" t="s">
        <v>28</v>
      </c>
      <c r="H298" s="72" t="str">
        <f t="shared" si="17"/>
        <v>№. І.П.рік нар.  Країна</v>
      </c>
      <c r="I298" s="54" t="str">
        <f aca="true" t="shared" si="18" ref="I298:I306">E298</f>
        <v>ЧАС</v>
      </c>
    </row>
    <row r="299" spans="1:9" ht="12.75">
      <c r="A299" s="19">
        <v>1</v>
      </c>
      <c r="B299" s="38" t="s">
        <v>1304</v>
      </c>
      <c r="C299" s="38" t="s">
        <v>1468</v>
      </c>
      <c r="D299" s="60"/>
      <c r="E299" s="54">
        <v>1.2891087962962964</v>
      </c>
      <c r="H299" s="72" t="str">
        <f t="shared" si="17"/>
        <v>1. Жан Боп'є (1987)  Францiя</v>
      </c>
      <c r="I299" s="54">
        <f t="shared" si="18"/>
        <v>1.2891087962962964</v>
      </c>
    </row>
    <row r="300" spans="1:9" ht="12.75">
      <c r="A300" s="1">
        <v>2</v>
      </c>
      <c r="B300" s="87" t="s">
        <v>1360</v>
      </c>
      <c r="C300" s="21" t="s">
        <v>1434</v>
      </c>
      <c r="D300" s="19"/>
      <c r="E300" s="28">
        <v>1.334826388888889</v>
      </c>
      <c r="H300" s="72" t="str">
        <f t="shared" si="17"/>
        <v>2. Iван Голосков (1985)  Болгарiя</v>
      </c>
      <c r="I300" s="54">
        <f t="shared" si="18"/>
        <v>1.334826388888889</v>
      </c>
    </row>
    <row r="301" spans="1:9" ht="12.75">
      <c r="A301" s="1">
        <v>3</v>
      </c>
      <c r="B301" s="1" t="s">
        <v>1323</v>
      </c>
      <c r="C301" s="1" t="s">
        <v>1015</v>
      </c>
      <c r="D301" s="28"/>
      <c r="E301" s="28">
        <v>1.4147106481481482</v>
      </c>
      <c r="H301" s="72" t="str">
        <f t="shared" si="17"/>
        <v>3. Емре Савух (1988)  Туреччина</v>
      </c>
      <c r="I301" s="54">
        <f t="shared" si="18"/>
        <v>1.4147106481481482</v>
      </c>
    </row>
    <row r="302" spans="1:9" ht="12.75">
      <c r="A302" s="1">
        <v>4</v>
      </c>
      <c r="B302" s="2" t="s">
        <v>1386</v>
      </c>
      <c r="C302" s="2" t="s">
        <v>1473</v>
      </c>
      <c r="D302" s="2"/>
      <c r="E302" s="28">
        <v>1.4633217592592593</v>
      </c>
      <c r="H302" s="72" t="str">
        <f t="shared" si="17"/>
        <v>4. Вітас Фарітас (1985)  Кiпр</v>
      </c>
      <c r="I302" s="54">
        <f t="shared" si="18"/>
        <v>1.4633217592592593</v>
      </c>
    </row>
    <row r="303" spans="1:9" ht="12.75">
      <c r="A303" s="1">
        <v>5</v>
      </c>
      <c r="B303" s="1" t="s">
        <v>1317</v>
      </c>
      <c r="C303" s="1" t="s">
        <v>589</v>
      </c>
      <c r="D303" s="1"/>
      <c r="E303" s="28">
        <v>1.4660879629629628</v>
      </c>
      <c r="H303" s="72" t="str">
        <f t="shared" si="17"/>
        <v>5. Карел Штанек (1988)  Польща</v>
      </c>
      <c r="I303" s="54">
        <f t="shared" si="18"/>
        <v>1.4660879629629628</v>
      </c>
    </row>
    <row r="304" spans="1:9" ht="12.75">
      <c r="A304" s="1">
        <v>6</v>
      </c>
      <c r="B304" s="19" t="s">
        <v>1370</v>
      </c>
      <c r="C304" s="19" t="s">
        <v>1455</v>
      </c>
      <c r="D304" s="19"/>
      <c r="E304" s="28">
        <v>1.4974537037037037</v>
      </c>
      <c r="H304" s="72" t="str">
        <f t="shared" si="17"/>
        <v>6. Деннi Хартiн (1988)  Iрландiя</v>
      </c>
      <c r="I304" s="54">
        <f t="shared" si="18"/>
        <v>1.4974537037037037</v>
      </c>
    </row>
    <row r="305" spans="1:9" ht="12.75">
      <c r="A305" s="1">
        <v>7</v>
      </c>
      <c r="B305" s="19" t="s">
        <v>1380</v>
      </c>
      <c r="C305" s="19" t="s">
        <v>1445</v>
      </c>
      <c r="D305" s="19"/>
      <c r="E305" s="28">
        <v>1.500196759259259</v>
      </c>
      <c r="H305" s="72" t="str">
        <f t="shared" si="17"/>
        <v>7. Васіліос Заржиді (1984)  Грецiя</v>
      </c>
      <c r="I305" s="54">
        <f t="shared" si="18"/>
        <v>1.500196759259259</v>
      </c>
    </row>
    <row r="306" spans="1:9" ht="12.75">
      <c r="A306" s="1">
        <v>8</v>
      </c>
      <c r="B306" s="21" t="s">
        <v>1389</v>
      </c>
      <c r="C306" s="19" t="s">
        <v>1453</v>
      </c>
      <c r="D306" s="38"/>
      <c r="E306" s="28">
        <v>1.597361111111111</v>
      </c>
      <c r="H306" s="72" t="str">
        <f t="shared" si="17"/>
        <v>8. Фредер Арбсон (1985)  Швецiя</v>
      </c>
      <c r="I306" s="54">
        <f t="shared" si="18"/>
        <v>1.597361111111111</v>
      </c>
    </row>
    <row r="308" ht="12.75">
      <c r="B308" s="79"/>
    </row>
    <row r="310" spans="1:11" ht="12.75">
      <c r="A310" s="1"/>
      <c r="B310" s="1" t="s">
        <v>958</v>
      </c>
      <c r="C310" s="1" t="s">
        <v>577</v>
      </c>
      <c r="D310" s="1" t="s">
        <v>578</v>
      </c>
      <c r="E310" s="38" t="s">
        <v>28</v>
      </c>
      <c r="F310" s="109"/>
      <c r="G310" s="109"/>
      <c r="H310" s="109"/>
      <c r="I310" s="110"/>
      <c r="J310" s="46" t="s">
        <v>1481</v>
      </c>
      <c r="K310" s="46" t="s">
        <v>1482</v>
      </c>
    </row>
    <row r="311" spans="1:10" ht="12.75">
      <c r="A311" s="19">
        <v>1</v>
      </c>
      <c r="B311" s="38" t="s">
        <v>1304</v>
      </c>
      <c r="C311" s="38" t="s">
        <v>1468</v>
      </c>
      <c r="D311" s="60"/>
      <c r="E311" s="54">
        <v>1.2891087962962964</v>
      </c>
      <c r="G311" s="72">
        <f>HOUR(E311)+24</f>
        <v>30</v>
      </c>
      <c r="H311" s="78">
        <f>MINUTE(E311)</f>
        <v>56</v>
      </c>
      <c r="I311" s="72">
        <f>$I$162-G311*60-H311</f>
        <v>644</v>
      </c>
      <c r="J311" s="72">
        <f>I311*(1-A311/112)</f>
        <v>638.25</v>
      </c>
    </row>
    <row r="312" spans="1:10" ht="12.75">
      <c r="A312" s="19">
        <v>2</v>
      </c>
      <c r="B312" s="60" t="s">
        <v>1295</v>
      </c>
      <c r="C312" s="60" t="s">
        <v>1433</v>
      </c>
      <c r="D312" s="38"/>
      <c r="E312" s="54">
        <v>1.2966550925925926</v>
      </c>
      <c r="G312" s="72">
        <f aca="true" t="shared" si="19" ref="G312:G366">HOUR(E312)+24</f>
        <v>31</v>
      </c>
      <c r="H312" s="78">
        <f aca="true" t="shared" si="20" ref="H312:H366">MINUTE(E312)</f>
        <v>7</v>
      </c>
      <c r="I312" s="72">
        <f aca="true" t="shared" si="21" ref="I312:I366">$I$162-G312*60-H312</f>
        <v>633</v>
      </c>
      <c r="J312" s="72">
        <f aca="true" t="shared" si="22" ref="J312:J366">I312*(1-A312/112)</f>
        <v>621.6964285714286</v>
      </c>
    </row>
    <row r="313" spans="1:10" ht="12.75">
      <c r="A313" s="19">
        <v>3</v>
      </c>
      <c r="B313" s="113" t="s">
        <v>1292</v>
      </c>
      <c r="C313" s="38" t="s">
        <v>1426</v>
      </c>
      <c r="D313" s="60"/>
      <c r="E313" s="54">
        <v>1.2994212962962963</v>
      </c>
      <c r="G313" s="72">
        <f t="shared" si="19"/>
        <v>31</v>
      </c>
      <c r="H313" s="78">
        <f t="shared" si="20"/>
        <v>11</v>
      </c>
      <c r="I313" s="72">
        <f t="shared" si="21"/>
        <v>629</v>
      </c>
      <c r="J313" s="72">
        <f t="shared" si="22"/>
        <v>612.1517857142857</v>
      </c>
    </row>
    <row r="314" spans="1:10" ht="12.75">
      <c r="A314" s="19">
        <v>4</v>
      </c>
      <c r="B314" s="38" t="s">
        <v>1337</v>
      </c>
      <c r="C314" s="60" t="s">
        <v>843</v>
      </c>
      <c r="D314" s="54"/>
      <c r="E314" s="54">
        <v>1.323125</v>
      </c>
      <c r="G314" s="72">
        <f t="shared" si="19"/>
        <v>31</v>
      </c>
      <c r="H314" s="78">
        <f t="shared" si="20"/>
        <v>45</v>
      </c>
      <c r="I314" s="72">
        <f t="shared" si="21"/>
        <v>595</v>
      </c>
      <c r="J314" s="72">
        <f t="shared" si="22"/>
        <v>573.75</v>
      </c>
    </row>
    <row r="315" spans="1:10" ht="12.75">
      <c r="A315" s="19">
        <v>5</v>
      </c>
      <c r="B315" s="60" t="s">
        <v>1339</v>
      </c>
      <c r="C315" s="60" t="s">
        <v>1461</v>
      </c>
      <c r="D315" s="1"/>
      <c r="E315" s="54">
        <v>1.3300925925925926</v>
      </c>
      <c r="G315" s="72">
        <f t="shared" si="19"/>
        <v>31</v>
      </c>
      <c r="H315" s="78">
        <f t="shared" si="20"/>
        <v>55</v>
      </c>
      <c r="I315" s="72">
        <f t="shared" si="21"/>
        <v>585</v>
      </c>
      <c r="J315" s="72">
        <f t="shared" si="22"/>
        <v>558.8839285714286</v>
      </c>
    </row>
    <row r="316" spans="1:10" ht="12.75">
      <c r="A316" s="19">
        <v>6</v>
      </c>
      <c r="B316" s="60" t="s">
        <v>1305</v>
      </c>
      <c r="C316" s="60" t="s">
        <v>1468</v>
      </c>
      <c r="D316" s="60"/>
      <c r="E316" s="54">
        <v>1.3313657407407409</v>
      </c>
      <c r="G316" s="72">
        <f t="shared" si="19"/>
        <v>31</v>
      </c>
      <c r="H316" s="78">
        <f t="shared" si="20"/>
        <v>57</v>
      </c>
      <c r="I316" s="72">
        <f t="shared" si="21"/>
        <v>583</v>
      </c>
      <c r="J316" s="72">
        <f t="shared" si="22"/>
        <v>551.7678571428571</v>
      </c>
    </row>
    <row r="317" spans="1:10" ht="12.75">
      <c r="A317" s="19">
        <v>7</v>
      </c>
      <c r="B317" s="88" t="s">
        <v>1300</v>
      </c>
      <c r="C317" s="88" t="s">
        <v>1440</v>
      </c>
      <c r="D317" s="92"/>
      <c r="E317" s="85">
        <v>1.333414351851852</v>
      </c>
      <c r="G317" s="72">
        <f t="shared" si="19"/>
        <v>32</v>
      </c>
      <c r="H317" s="78">
        <f t="shared" si="20"/>
        <v>0</v>
      </c>
      <c r="I317" s="72">
        <f t="shared" si="21"/>
        <v>580</v>
      </c>
      <c r="J317" s="72">
        <f t="shared" si="22"/>
        <v>543.75</v>
      </c>
    </row>
    <row r="318" spans="1:10" ht="12.75">
      <c r="A318" s="19">
        <v>8</v>
      </c>
      <c r="B318" s="91" t="s">
        <v>1360</v>
      </c>
      <c r="C318" s="88" t="s">
        <v>1434</v>
      </c>
      <c r="D318" s="84"/>
      <c r="E318" s="85">
        <v>1.334826388888889</v>
      </c>
      <c r="G318" s="72">
        <f t="shared" si="19"/>
        <v>32</v>
      </c>
      <c r="H318" s="78">
        <f t="shared" si="20"/>
        <v>2</v>
      </c>
      <c r="I318" s="72">
        <f t="shared" si="21"/>
        <v>578</v>
      </c>
      <c r="J318" s="72">
        <f t="shared" si="22"/>
        <v>536.7142857142858</v>
      </c>
    </row>
    <row r="319" spans="1:10" ht="12.75">
      <c r="A319" s="19">
        <v>9</v>
      </c>
      <c r="B319" s="60" t="s">
        <v>1296</v>
      </c>
      <c r="C319" s="60" t="s">
        <v>1433</v>
      </c>
      <c r="D319" s="60"/>
      <c r="E319" s="54">
        <v>1.334849537037037</v>
      </c>
      <c r="G319" s="72">
        <f t="shared" si="19"/>
        <v>32</v>
      </c>
      <c r="H319" s="78">
        <f t="shared" si="20"/>
        <v>2</v>
      </c>
      <c r="I319" s="72">
        <f t="shared" si="21"/>
        <v>578</v>
      </c>
      <c r="J319" s="72">
        <f t="shared" si="22"/>
        <v>531.5535714285714</v>
      </c>
    </row>
    <row r="320" spans="1:10" ht="12.75">
      <c r="A320" s="19">
        <v>10</v>
      </c>
      <c r="B320" s="88" t="s">
        <v>1368</v>
      </c>
      <c r="C320" s="84" t="s">
        <v>1455</v>
      </c>
      <c r="D320" s="85"/>
      <c r="E320" s="85">
        <v>1.3520949074074073</v>
      </c>
      <c r="G320" s="72">
        <f t="shared" si="19"/>
        <v>32</v>
      </c>
      <c r="H320" s="78">
        <f t="shared" si="20"/>
        <v>27</v>
      </c>
      <c r="I320" s="72">
        <f t="shared" si="21"/>
        <v>553</v>
      </c>
      <c r="J320" s="72">
        <f t="shared" si="22"/>
        <v>503.625</v>
      </c>
    </row>
    <row r="321" spans="1:10" ht="12.75">
      <c r="A321" s="19">
        <v>11</v>
      </c>
      <c r="B321" s="91" t="s">
        <v>1348</v>
      </c>
      <c r="C321" s="84" t="s">
        <v>600</v>
      </c>
      <c r="D321" s="114"/>
      <c r="E321" s="85">
        <v>1.362025462962963</v>
      </c>
      <c r="G321" s="72">
        <f t="shared" si="19"/>
        <v>32</v>
      </c>
      <c r="H321" s="78">
        <f t="shared" si="20"/>
        <v>41</v>
      </c>
      <c r="I321" s="72">
        <f t="shared" si="21"/>
        <v>539</v>
      </c>
      <c r="J321" s="72">
        <f t="shared" si="22"/>
        <v>486.0625</v>
      </c>
    </row>
    <row r="322" spans="1:10" ht="12.75">
      <c r="A322" s="19">
        <v>12</v>
      </c>
      <c r="B322" s="15" t="s">
        <v>1301</v>
      </c>
      <c r="C322" s="84" t="s">
        <v>1440</v>
      </c>
      <c r="D322" s="84"/>
      <c r="E322" s="85">
        <v>1.362314814814815</v>
      </c>
      <c r="G322" s="72">
        <f t="shared" si="19"/>
        <v>32</v>
      </c>
      <c r="H322" s="78">
        <f t="shared" si="20"/>
        <v>41</v>
      </c>
      <c r="I322" s="72">
        <f t="shared" si="21"/>
        <v>539</v>
      </c>
      <c r="J322" s="72">
        <f t="shared" si="22"/>
        <v>481.25</v>
      </c>
    </row>
    <row r="323" spans="1:10" ht="12.75">
      <c r="A323" s="19">
        <v>13</v>
      </c>
      <c r="B323" s="20" t="s">
        <v>1346</v>
      </c>
      <c r="C323" s="2" t="s">
        <v>588</v>
      </c>
      <c r="D323" s="2"/>
      <c r="E323" s="28">
        <v>1.3641087962962963</v>
      </c>
      <c r="G323" s="72">
        <f t="shared" si="19"/>
        <v>32</v>
      </c>
      <c r="H323" s="78">
        <f t="shared" si="20"/>
        <v>44</v>
      </c>
      <c r="I323" s="72">
        <f t="shared" si="21"/>
        <v>536</v>
      </c>
      <c r="J323" s="72">
        <f t="shared" si="22"/>
        <v>473.7857142857143</v>
      </c>
    </row>
    <row r="324" spans="1:10" ht="12.75">
      <c r="A324" s="19">
        <v>14</v>
      </c>
      <c r="B324" s="1" t="s">
        <v>1329</v>
      </c>
      <c r="C324" s="19" t="s">
        <v>1471</v>
      </c>
      <c r="D324" s="19"/>
      <c r="E324" s="28">
        <v>1.3695601851851853</v>
      </c>
      <c r="G324" s="72">
        <f t="shared" si="19"/>
        <v>32</v>
      </c>
      <c r="H324" s="78">
        <f t="shared" si="20"/>
        <v>52</v>
      </c>
      <c r="I324" s="72">
        <f t="shared" si="21"/>
        <v>528</v>
      </c>
      <c r="J324" s="72">
        <f t="shared" si="22"/>
        <v>462</v>
      </c>
    </row>
    <row r="325" spans="1:10" ht="12.75">
      <c r="A325" s="19">
        <v>15</v>
      </c>
      <c r="B325" s="21" t="s">
        <v>990</v>
      </c>
      <c r="C325" s="19" t="s">
        <v>593</v>
      </c>
      <c r="D325" s="60"/>
      <c r="E325" s="28">
        <v>1.3716435185185185</v>
      </c>
      <c r="G325" s="72">
        <f t="shared" si="19"/>
        <v>32</v>
      </c>
      <c r="H325" s="78">
        <f t="shared" si="20"/>
        <v>55</v>
      </c>
      <c r="I325" s="72">
        <f t="shared" si="21"/>
        <v>525</v>
      </c>
      <c r="J325" s="72">
        <f t="shared" si="22"/>
        <v>454.6875</v>
      </c>
    </row>
    <row r="326" spans="1:10" ht="12.75">
      <c r="A326" s="19">
        <v>16</v>
      </c>
      <c r="B326" s="19" t="s">
        <v>1309</v>
      </c>
      <c r="C326" s="19" t="s">
        <v>1443</v>
      </c>
      <c r="D326" s="19"/>
      <c r="E326" s="28">
        <v>1.375011574074074</v>
      </c>
      <c r="G326" s="72">
        <f t="shared" si="19"/>
        <v>33</v>
      </c>
      <c r="H326" s="78">
        <f t="shared" si="20"/>
        <v>0</v>
      </c>
      <c r="I326" s="72">
        <f t="shared" si="21"/>
        <v>520</v>
      </c>
      <c r="J326" s="72">
        <f t="shared" si="22"/>
        <v>445.7142857142857</v>
      </c>
    </row>
    <row r="327" spans="1:10" ht="12.75">
      <c r="A327" s="19">
        <v>17</v>
      </c>
      <c r="B327" s="21" t="s">
        <v>971</v>
      </c>
      <c r="C327" s="19" t="s">
        <v>593</v>
      </c>
      <c r="D327" s="1"/>
      <c r="E327" s="28">
        <v>1.3758333333333335</v>
      </c>
      <c r="G327" s="72">
        <f t="shared" si="19"/>
        <v>33</v>
      </c>
      <c r="H327" s="78">
        <f t="shared" si="20"/>
        <v>1</v>
      </c>
      <c r="I327" s="72">
        <f t="shared" si="21"/>
        <v>519</v>
      </c>
      <c r="J327" s="72">
        <f t="shared" si="22"/>
        <v>440.2232142857143</v>
      </c>
    </row>
    <row r="328" spans="1:10" ht="12.75">
      <c r="A328" s="19">
        <v>18</v>
      </c>
      <c r="B328" s="19" t="s">
        <v>1319</v>
      </c>
      <c r="C328" s="19" t="s">
        <v>1469</v>
      </c>
      <c r="D328" s="19"/>
      <c r="E328" s="28">
        <v>1.3868055555555554</v>
      </c>
      <c r="G328" s="72">
        <f t="shared" si="19"/>
        <v>33</v>
      </c>
      <c r="H328" s="78">
        <f t="shared" si="20"/>
        <v>17</v>
      </c>
      <c r="I328" s="72">
        <f t="shared" si="21"/>
        <v>503</v>
      </c>
      <c r="J328" s="72">
        <f t="shared" si="22"/>
        <v>422.1607142857143</v>
      </c>
    </row>
    <row r="329" spans="1:10" ht="12.75">
      <c r="A329" s="19">
        <v>19</v>
      </c>
      <c r="B329" s="1" t="s">
        <v>1345</v>
      </c>
      <c r="C329" s="1" t="s">
        <v>1444</v>
      </c>
      <c r="D329" s="1"/>
      <c r="E329" s="28">
        <v>1.3869791666666667</v>
      </c>
      <c r="G329" s="72">
        <f t="shared" si="19"/>
        <v>33</v>
      </c>
      <c r="H329" s="78">
        <f t="shared" si="20"/>
        <v>17</v>
      </c>
      <c r="I329" s="72">
        <f t="shared" si="21"/>
        <v>503</v>
      </c>
      <c r="J329" s="72">
        <f t="shared" si="22"/>
        <v>417.66964285714283</v>
      </c>
    </row>
    <row r="330" spans="1:10" ht="12.75">
      <c r="A330" s="19">
        <v>20</v>
      </c>
      <c r="B330" s="2" t="s">
        <v>1293</v>
      </c>
      <c r="C330" s="2" t="s">
        <v>1426</v>
      </c>
      <c r="D330" s="2"/>
      <c r="E330" s="28">
        <v>1.3931712962962963</v>
      </c>
      <c r="G330" s="72">
        <f t="shared" si="19"/>
        <v>33</v>
      </c>
      <c r="H330" s="78">
        <f t="shared" si="20"/>
        <v>26</v>
      </c>
      <c r="I330" s="72">
        <f t="shared" si="21"/>
        <v>494</v>
      </c>
      <c r="J330" s="72">
        <f t="shared" si="22"/>
        <v>405.7857142857143</v>
      </c>
    </row>
    <row r="331" spans="1:10" ht="12.75">
      <c r="A331" s="19">
        <v>21</v>
      </c>
      <c r="B331" s="21" t="s">
        <v>1299</v>
      </c>
      <c r="C331" s="21" t="s">
        <v>1440</v>
      </c>
      <c r="D331" s="60"/>
      <c r="E331" s="28">
        <v>1.3959606481481481</v>
      </c>
      <c r="G331" s="72">
        <f t="shared" si="19"/>
        <v>33</v>
      </c>
      <c r="H331" s="78">
        <f t="shared" si="20"/>
        <v>30</v>
      </c>
      <c r="I331" s="72">
        <f t="shared" si="21"/>
        <v>490</v>
      </c>
      <c r="J331" s="72">
        <f t="shared" si="22"/>
        <v>398.125</v>
      </c>
    </row>
    <row r="332" spans="1:10" ht="12.75">
      <c r="A332" s="19">
        <v>22</v>
      </c>
      <c r="B332" s="2" t="s">
        <v>1381</v>
      </c>
      <c r="C332" s="19" t="s">
        <v>1445</v>
      </c>
      <c r="D332" s="2"/>
      <c r="E332" s="28">
        <v>1.4078587962962963</v>
      </c>
      <c r="G332" s="72">
        <f t="shared" si="19"/>
        <v>33</v>
      </c>
      <c r="H332" s="78">
        <f t="shared" si="20"/>
        <v>47</v>
      </c>
      <c r="I332" s="72">
        <f t="shared" si="21"/>
        <v>473</v>
      </c>
      <c r="J332" s="72">
        <f t="shared" si="22"/>
        <v>380.0892857142857</v>
      </c>
    </row>
    <row r="333" spans="1:10" ht="12.75">
      <c r="A333" s="19">
        <v>23</v>
      </c>
      <c r="B333" s="20" t="s">
        <v>1332</v>
      </c>
      <c r="C333" s="2" t="s">
        <v>627</v>
      </c>
      <c r="D333" s="2"/>
      <c r="E333" s="28">
        <v>1.4133333333333333</v>
      </c>
      <c r="G333" s="72">
        <f t="shared" si="19"/>
        <v>33</v>
      </c>
      <c r="H333" s="78">
        <f t="shared" si="20"/>
        <v>55</v>
      </c>
      <c r="I333" s="72">
        <f t="shared" si="21"/>
        <v>465</v>
      </c>
      <c r="J333" s="72">
        <f t="shared" si="22"/>
        <v>369.5089285714286</v>
      </c>
    </row>
    <row r="334" spans="1:10" ht="12.75">
      <c r="A334" s="19">
        <v>24</v>
      </c>
      <c r="B334" s="1" t="s">
        <v>1323</v>
      </c>
      <c r="C334" s="1" t="s">
        <v>1015</v>
      </c>
      <c r="D334" s="28"/>
      <c r="E334" s="28">
        <v>1.4147106481481482</v>
      </c>
      <c r="G334" s="72">
        <f t="shared" si="19"/>
        <v>33</v>
      </c>
      <c r="H334" s="78">
        <f t="shared" si="20"/>
        <v>57</v>
      </c>
      <c r="I334" s="72">
        <f t="shared" si="21"/>
        <v>463</v>
      </c>
      <c r="J334" s="72">
        <f t="shared" si="22"/>
        <v>363.7857142857143</v>
      </c>
    </row>
    <row r="335" spans="1:10" ht="12.75">
      <c r="A335" s="19">
        <v>25</v>
      </c>
      <c r="B335" s="19" t="s">
        <v>1338</v>
      </c>
      <c r="C335" s="19" t="s">
        <v>1427</v>
      </c>
      <c r="D335" s="19"/>
      <c r="E335" s="28">
        <v>1.4237384259259258</v>
      </c>
      <c r="G335" s="72">
        <f t="shared" si="19"/>
        <v>34</v>
      </c>
      <c r="H335" s="78">
        <f t="shared" si="20"/>
        <v>10</v>
      </c>
      <c r="I335" s="72">
        <f t="shared" si="21"/>
        <v>450</v>
      </c>
      <c r="J335" s="72">
        <f t="shared" si="22"/>
        <v>349.55357142857144</v>
      </c>
    </row>
    <row r="336" spans="1:10" ht="12.75">
      <c r="A336" s="19">
        <v>26</v>
      </c>
      <c r="B336" s="100" t="s">
        <v>1354</v>
      </c>
      <c r="C336" s="19" t="s">
        <v>1472</v>
      </c>
      <c r="D336" s="21"/>
      <c r="E336" s="28">
        <v>1.4238194444444445</v>
      </c>
      <c r="G336" s="72">
        <f t="shared" si="19"/>
        <v>34</v>
      </c>
      <c r="H336" s="78">
        <f t="shared" si="20"/>
        <v>10</v>
      </c>
      <c r="I336" s="72">
        <f t="shared" si="21"/>
        <v>450</v>
      </c>
      <c r="J336" s="72">
        <f t="shared" si="22"/>
        <v>345.5357142857143</v>
      </c>
    </row>
    <row r="337" spans="1:10" ht="12.75">
      <c r="A337" s="19">
        <v>27</v>
      </c>
      <c r="B337" s="1" t="s">
        <v>1326</v>
      </c>
      <c r="C337" s="2" t="s">
        <v>1470</v>
      </c>
      <c r="D337" s="19"/>
      <c r="E337" s="28">
        <v>1.4244212962962963</v>
      </c>
      <c r="G337" s="72">
        <f t="shared" si="19"/>
        <v>34</v>
      </c>
      <c r="H337" s="78">
        <f t="shared" si="20"/>
        <v>11</v>
      </c>
      <c r="I337" s="72">
        <f t="shared" si="21"/>
        <v>449</v>
      </c>
      <c r="J337" s="72">
        <f t="shared" si="22"/>
        <v>340.75892857142856</v>
      </c>
    </row>
    <row r="338" spans="1:10" ht="12.75">
      <c r="A338" s="19">
        <v>28</v>
      </c>
      <c r="B338" s="1" t="s">
        <v>1401</v>
      </c>
      <c r="C338" s="1" t="s">
        <v>1431</v>
      </c>
      <c r="D338" s="28"/>
      <c r="E338" s="28">
        <v>1.4244212962962963</v>
      </c>
      <c r="G338" s="72">
        <f t="shared" si="19"/>
        <v>34</v>
      </c>
      <c r="H338" s="78">
        <f t="shared" si="20"/>
        <v>11</v>
      </c>
      <c r="I338" s="72">
        <f t="shared" si="21"/>
        <v>449</v>
      </c>
      <c r="J338" s="72">
        <f t="shared" si="22"/>
        <v>336.75</v>
      </c>
    </row>
    <row r="339" spans="1:10" ht="12.75">
      <c r="A339" s="19">
        <v>29</v>
      </c>
      <c r="B339" s="19" t="s">
        <v>1308</v>
      </c>
      <c r="C339" s="21" t="s">
        <v>1443</v>
      </c>
      <c r="D339" s="60"/>
      <c r="E339" s="28">
        <v>1.4251157407407407</v>
      </c>
      <c r="G339" s="72">
        <f t="shared" si="19"/>
        <v>34</v>
      </c>
      <c r="H339" s="78">
        <f t="shared" si="20"/>
        <v>12</v>
      </c>
      <c r="I339" s="72">
        <f t="shared" si="21"/>
        <v>448</v>
      </c>
      <c r="J339" s="72">
        <f t="shared" si="22"/>
        <v>332</v>
      </c>
    </row>
    <row r="340" spans="1:10" ht="12.75">
      <c r="A340" s="19">
        <v>30</v>
      </c>
      <c r="B340" s="1" t="s">
        <v>1340</v>
      </c>
      <c r="C340" s="1" t="s">
        <v>595</v>
      </c>
      <c r="D340" s="1"/>
      <c r="E340" s="28">
        <v>1.4251157407407407</v>
      </c>
      <c r="G340" s="72">
        <f t="shared" si="19"/>
        <v>34</v>
      </c>
      <c r="H340" s="78">
        <f t="shared" si="20"/>
        <v>12</v>
      </c>
      <c r="I340" s="72">
        <f t="shared" si="21"/>
        <v>448</v>
      </c>
      <c r="J340" s="72">
        <f t="shared" si="22"/>
        <v>328</v>
      </c>
    </row>
    <row r="341" spans="1:10" ht="12.75">
      <c r="A341" s="19">
        <v>31</v>
      </c>
      <c r="B341" s="1" t="s">
        <v>1371</v>
      </c>
      <c r="C341" s="21" t="s">
        <v>1430</v>
      </c>
      <c r="D341" s="19"/>
      <c r="E341" s="28">
        <v>1.4291087962962965</v>
      </c>
      <c r="G341" s="72">
        <f t="shared" si="19"/>
        <v>34</v>
      </c>
      <c r="H341" s="78">
        <f t="shared" si="20"/>
        <v>17</v>
      </c>
      <c r="I341" s="72">
        <f t="shared" si="21"/>
        <v>443</v>
      </c>
      <c r="J341" s="72">
        <f t="shared" si="22"/>
        <v>320.38392857142856</v>
      </c>
    </row>
    <row r="342" spans="1:10" ht="12.75">
      <c r="A342" s="19">
        <v>32</v>
      </c>
      <c r="B342" s="1" t="s">
        <v>1384</v>
      </c>
      <c r="C342" s="1" t="s">
        <v>1438</v>
      </c>
      <c r="D342" s="28"/>
      <c r="E342" s="28">
        <v>1.4321643518518519</v>
      </c>
      <c r="G342" s="72">
        <f t="shared" si="19"/>
        <v>34</v>
      </c>
      <c r="H342" s="78">
        <f t="shared" si="20"/>
        <v>22</v>
      </c>
      <c r="I342" s="72">
        <f t="shared" si="21"/>
        <v>438</v>
      </c>
      <c r="J342" s="72">
        <f t="shared" si="22"/>
        <v>312.8571428571429</v>
      </c>
    </row>
    <row r="343" spans="1:10" ht="12.75">
      <c r="A343" s="19">
        <v>33</v>
      </c>
      <c r="B343" s="21" t="s">
        <v>1333</v>
      </c>
      <c r="C343" s="19" t="s">
        <v>1018</v>
      </c>
      <c r="D343" s="2"/>
      <c r="E343" s="28">
        <v>1.4335532407407408</v>
      </c>
      <c r="G343" s="72">
        <f t="shared" si="19"/>
        <v>34</v>
      </c>
      <c r="H343" s="78">
        <f t="shared" si="20"/>
        <v>24</v>
      </c>
      <c r="I343" s="72">
        <f t="shared" si="21"/>
        <v>436</v>
      </c>
      <c r="J343" s="72">
        <f t="shared" si="22"/>
        <v>307.5357142857143</v>
      </c>
    </row>
    <row r="344" spans="1:10" ht="12.75">
      <c r="A344" s="19">
        <v>34</v>
      </c>
      <c r="B344" s="1" t="s">
        <v>1325</v>
      </c>
      <c r="C344" s="2" t="s">
        <v>1470</v>
      </c>
      <c r="D344" s="2"/>
      <c r="E344" s="28">
        <v>1.447337962962963</v>
      </c>
      <c r="G344" s="72">
        <f t="shared" si="19"/>
        <v>34</v>
      </c>
      <c r="H344" s="78">
        <f t="shared" si="20"/>
        <v>44</v>
      </c>
      <c r="I344" s="72">
        <f t="shared" si="21"/>
        <v>416</v>
      </c>
      <c r="J344" s="72">
        <f t="shared" si="22"/>
        <v>289.7142857142857</v>
      </c>
    </row>
    <row r="345" spans="1:10" ht="12.75">
      <c r="A345" s="19">
        <v>35</v>
      </c>
      <c r="B345" s="1" t="s">
        <v>1377</v>
      </c>
      <c r="C345" s="1" t="s">
        <v>1451</v>
      </c>
      <c r="D345" s="1"/>
      <c r="E345" s="28">
        <v>1.455</v>
      </c>
      <c r="G345" s="72">
        <f t="shared" si="19"/>
        <v>34</v>
      </c>
      <c r="H345" s="78">
        <f t="shared" si="20"/>
        <v>55</v>
      </c>
      <c r="I345" s="72">
        <f t="shared" si="21"/>
        <v>405</v>
      </c>
      <c r="J345" s="72">
        <f t="shared" si="22"/>
        <v>278.4375</v>
      </c>
    </row>
    <row r="346" spans="1:10" ht="12.75">
      <c r="A346" s="19">
        <v>36</v>
      </c>
      <c r="B346" s="20" t="s">
        <v>1342</v>
      </c>
      <c r="C346" s="19" t="s">
        <v>596</v>
      </c>
      <c r="D346" s="19"/>
      <c r="E346" s="28">
        <v>1.4550810185185183</v>
      </c>
      <c r="G346" s="72">
        <f t="shared" si="19"/>
        <v>34</v>
      </c>
      <c r="H346" s="78">
        <f t="shared" si="20"/>
        <v>55</v>
      </c>
      <c r="I346" s="72">
        <f t="shared" si="21"/>
        <v>405</v>
      </c>
      <c r="J346" s="72">
        <f t="shared" si="22"/>
        <v>274.8214285714286</v>
      </c>
    </row>
    <row r="347" spans="1:10" ht="12.75">
      <c r="A347" s="19">
        <v>37</v>
      </c>
      <c r="B347" s="100" t="s">
        <v>1352</v>
      </c>
      <c r="C347" s="19" t="s">
        <v>1462</v>
      </c>
      <c r="D347" s="19"/>
      <c r="E347" s="28">
        <v>1.4625578703703705</v>
      </c>
      <c r="G347" s="72">
        <f t="shared" si="19"/>
        <v>35</v>
      </c>
      <c r="H347" s="78">
        <f t="shared" si="20"/>
        <v>6</v>
      </c>
      <c r="I347" s="72">
        <f t="shared" si="21"/>
        <v>394</v>
      </c>
      <c r="J347" s="72">
        <f t="shared" si="22"/>
        <v>263.8392857142857</v>
      </c>
    </row>
    <row r="348" spans="1:10" ht="12.75">
      <c r="A348" s="19">
        <v>38</v>
      </c>
      <c r="B348" s="2" t="s">
        <v>1386</v>
      </c>
      <c r="C348" s="2" t="s">
        <v>1473</v>
      </c>
      <c r="D348" s="2"/>
      <c r="E348" s="28">
        <v>1.4633217592592593</v>
      </c>
      <c r="G348" s="72">
        <f t="shared" si="19"/>
        <v>35</v>
      </c>
      <c r="H348" s="78">
        <f t="shared" si="20"/>
        <v>7</v>
      </c>
      <c r="I348" s="72">
        <f t="shared" si="21"/>
        <v>393</v>
      </c>
      <c r="J348" s="72">
        <f t="shared" si="22"/>
        <v>259.6607142857143</v>
      </c>
    </row>
    <row r="349" spans="1:10" ht="12.75">
      <c r="A349" s="19">
        <v>39</v>
      </c>
      <c r="B349" s="19" t="s">
        <v>1312</v>
      </c>
      <c r="C349" s="19" t="s">
        <v>1447</v>
      </c>
      <c r="D349" s="21"/>
      <c r="E349" s="28">
        <v>1.4660879629629628</v>
      </c>
      <c r="G349" s="72">
        <f t="shared" si="19"/>
        <v>35</v>
      </c>
      <c r="H349" s="78">
        <f t="shared" si="20"/>
        <v>11</v>
      </c>
      <c r="I349" s="72">
        <f t="shared" si="21"/>
        <v>389</v>
      </c>
      <c r="J349" s="72">
        <f t="shared" si="22"/>
        <v>253.54464285714286</v>
      </c>
    </row>
    <row r="350" spans="1:10" ht="12.75">
      <c r="A350" s="19">
        <v>40</v>
      </c>
      <c r="B350" s="20" t="s">
        <v>1351</v>
      </c>
      <c r="C350" s="19" t="s">
        <v>1462</v>
      </c>
      <c r="D350" s="38"/>
      <c r="E350" s="28">
        <v>1.4660879629629628</v>
      </c>
      <c r="G350" s="72">
        <f t="shared" si="19"/>
        <v>35</v>
      </c>
      <c r="H350" s="78">
        <f t="shared" si="20"/>
        <v>11</v>
      </c>
      <c r="I350" s="72">
        <f t="shared" si="21"/>
        <v>389</v>
      </c>
      <c r="J350" s="72">
        <f t="shared" si="22"/>
        <v>250.07142857142856</v>
      </c>
    </row>
    <row r="351" spans="1:10" ht="12.75">
      <c r="A351" s="19">
        <v>41</v>
      </c>
      <c r="B351" s="1" t="s">
        <v>1317</v>
      </c>
      <c r="C351" s="1" t="s">
        <v>589</v>
      </c>
      <c r="D351" s="1"/>
      <c r="E351" s="28">
        <v>1.4660879629629628</v>
      </c>
      <c r="G351" s="72">
        <f t="shared" si="19"/>
        <v>35</v>
      </c>
      <c r="H351" s="78">
        <f t="shared" si="20"/>
        <v>11</v>
      </c>
      <c r="I351" s="72">
        <f t="shared" si="21"/>
        <v>389</v>
      </c>
      <c r="J351" s="72">
        <f t="shared" si="22"/>
        <v>246.59821428571428</v>
      </c>
    </row>
    <row r="352" spans="1:10" ht="12.75">
      <c r="A352" s="19">
        <v>42</v>
      </c>
      <c r="B352" s="112" t="s">
        <v>1372</v>
      </c>
      <c r="C352" s="21" t="s">
        <v>1430</v>
      </c>
      <c r="D352" s="19"/>
      <c r="E352" s="28">
        <v>1.4668865740740742</v>
      </c>
      <c r="G352" s="72">
        <f t="shared" si="19"/>
        <v>35</v>
      </c>
      <c r="H352" s="78">
        <f t="shared" si="20"/>
        <v>12</v>
      </c>
      <c r="I352" s="72">
        <f t="shared" si="21"/>
        <v>388</v>
      </c>
      <c r="J352" s="72">
        <f t="shared" si="22"/>
        <v>242.5</v>
      </c>
    </row>
    <row r="353" spans="1:10" ht="12.75">
      <c r="A353" s="19">
        <v>43</v>
      </c>
      <c r="B353" s="1" t="s">
        <v>1328</v>
      </c>
      <c r="C353" s="2" t="s">
        <v>1471</v>
      </c>
      <c r="D353" s="2"/>
      <c r="E353" s="28">
        <v>1.4687152777777779</v>
      </c>
      <c r="G353" s="72">
        <f t="shared" si="19"/>
        <v>35</v>
      </c>
      <c r="H353" s="78">
        <f t="shared" si="20"/>
        <v>14</v>
      </c>
      <c r="I353" s="72">
        <f t="shared" si="21"/>
        <v>386</v>
      </c>
      <c r="J353" s="72">
        <f t="shared" si="22"/>
        <v>237.80357142857144</v>
      </c>
    </row>
    <row r="354" spans="1:10" ht="12.75">
      <c r="A354" s="19">
        <v>44</v>
      </c>
      <c r="B354" s="2" t="s">
        <v>1316</v>
      </c>
      <c r="C354" s="1" t="s">
        <v>589</v>
      </c>
      <c r="D354" s="28"/>
      <c r="E354" s="28">
        <v>1.4717592592592592</v>
      </c>
      <c r="G354" s="72">
        <f t="shared" si="19"/>
        <v>35</v>
      </c>
      <c r="H354" s="78">
        <f t="shared" si="20"/>
        <v>19</v>
      </c>
      <c r="I354" s="72">
        <f t="shared" si="21"/>
        <v>381</v>
      </c>
      <c r="J354" s="72">
        <f t="shared" si="22"/>
        <v>231.32142857142858</v>
      </c>
    </row>
    <row r="355" spans="1:10" ht="12.75">
      <c r="A355" s="19">
        <v>45</v>
      </c>
      <c r="B355" s="19" t="s">
        <v>1395</v>
      </c>
      <c r="C355" s="19" t="s">
        <v>1458</v>
      </c>
      <c r="D355" s="19"/>
      <c r="E355" s="28">
        <v>1.4723495370370372</v>
      </c>
      <c r="G355" s="72">
        <f t="shared" si="19"/>
        <v>35</v>
      </c>
      <c r="H355" s="78">
        <f t="shared" si="20"/>
        <v>20</v>
      </c>
      <c r="I355" s="72">
        <f t="shared" si="21"/>
        <v>380</v>
      </c>
      <c r="J355" s="72">
        <f t="shared" si="22"/>
        <v>227.32142857142856</v>
      </c>
    </row>
    <row r="356" spans="1:10" ht="12.75">
      <c r="A356" s="19">
        <v>46</v>
      </c>
      <c r="B356" s="87" t="s">
        <v>1398</v>
      </c>
      <c r="C356" s="21" t="s">
        <v>1452</v>
      </c>
      <c r="D356" s="19"/>
      <c r="E356" s="28">
        <v>1.4875925925925928</v>
      </c>
      <c r="G356" s="72">
        <f t="shared" si="19"/>
        <v>35</v>
      </c>
      <c r="H356" s="78">
        <f t="shared" si="20"/>
        <v>42</v>
      </c>
      <c r="I356" s="72">
        <f t="shared" si="21"/>
        <v>358</v>
      </c>
      <c r="J356" s="72">
        <f t="shared" si="22"/>
        <v>210.96428571428572</v>
      </c>
    </row>
    <row r="357" spans="1:10" ht="12.75">
      <c r="A357" s="19">
        <v>47</v>
      </c>
      <c r="B357" s="1" t="s">
        <v>1383</v>
      </c>
      <c r="C357" s="1" t="s">
        <v>1438</v>
      </c>
      <c r="D357" s="28"/>
      <c r="E357" s="28">
        <v>1.4907407407407407</v>
      </c>
      <c r="G357" s="72">
        <f t="shared" si="19"/>
        <v>35</v>
      </c>
      <c r="H357" s="78">
        <f t="shared" si="20"/>
        <v>46</v>
      </c>
      <c r="I357" s="72">
        <f t="shared" si="21"/>
        <v>354</v>
      </c>
      <c r="J357" s="72">
        <f t="shared" si="22"/>
        <v>205.44642857142856</v>
      </c>
    </row>
    <row r="358" spans="1:10" ht="12.75">
      <c r="A358" s="19">
        <v>48</v>
      </c>
      <c r="B358" s="19" t="s">
        <v>1370</v>
      </c>
      <c r="C358" s="19" t="s">
        <v>1455</v>
      </c>
      <c r="D358" s="19"/>
      <c r="E358" s="28">
        <v>1.4974537037037037</v>
      </c>
      <c r="G358" s="72">
        <f t="shared" si="19"/>
        <v>35</v>
      </c>
      <c r="H358" s="78">
        <f t="shared" si="20"/>
        <v>56</v>
      </c>
      <c r="I358" s="72">
        <f t="shared" si="21"/>
        <v>344</v>
      </c>
      <c r="J358" s="72">
        <f t="shared" si="22"/>
        <v>196.57142857142856</v>
      </c>
    </row>
    <row r="359" spans="1:10" ht="12.75">
      <c r="A359" s="19">
        <v>49</v>
      </c>
      <c r="B359" s="19" t="s">
        <v>1369</v>
      </c>
      <c r="C359" s="19" t="s">
        <v>1455</v>
      </c>
      <c r="D359" s="19"/>
      <c r="E359" s="28">
        <v>1.4978935185185185</v>
      </c>
      <c r="G359" s="72">
        <f t="shared" si="19"/>
        <v>35</v>
      </c>
      <c r="H359" s="78">
        <f t="shared" si="20"/>
        <v>56</v>
      </c>
      <c r="I359" s="72">
        <f t="shared" si="21"/>
        <v>344</v>
      </c>
      <c r="J359" s="72">
        <f t="shared" si="22"/>
        <v>193.5</v>
      </c>
    </row>
    <row r="360" spans="1:10" ht="12.75">
      <c r="A360" s="19">
        <v>50</v>
      </c>
      <c r="B360" s="87" t="s">
        <v>1378</v>
      </c>
      <c r="C360" s="1" t="s">
        <v>1451</v>
      </c>
      <c r="D360" s="19"/>
      <c r="E360" s="28">
        <v>1.5000925925925925</v>
      </c>
      <c r="G360" s="72">
        <f t="shared" si="19"/>
        <v>36</v>
      </c>
      <c r="H360" s="78">
        <f t="shared" si="20"/>
        <v>0</v>
      </c>
      <c r="I360" s="72">
        <f t="shared" si="21"/>
        <v>340</v>
      </c>
      <c r="J360" s="72">
        <f t="shared" si="22"/>
        <v>188.21428571428572</v>
      </c>
    </row>
    <row r="361" spans="1:10" ht="12.75">
      <c r="A361" s="19">
        <v>51</v>
      </c>
      <c r="B361" s="19" t="s">
        <v>1380</v>
      </c>
      <c r="C361" s="19" t="s">
        <v>1445</v>
      </c>
      <c r="D361" s="19"/>
      <c r="E361" s="28">
        <v>1.500196759259259</v>
      </c>
      <c r="G361" s="72">
        <f t="shared" si="19"/>
        <v>36</v>
      </c>
      <c r="H361" s="78">
        <f t="shared" si="20"/>
        <v>0</v>
      </c>
      <c r="I361" s="72">
        <f t="shared" si="21"/>
        <v>340</v>
      </c>
      <c r="J361" s="72">
        <f t="shared" si="22"/>
        <v>185.17857142857144</v>
      </c>
    </row>
    <row r="362" spans="1:10" ht="12.75">
      <c r="A362" s="19">
        <v>52</v>
      </c>
      <c r="B362" s="21" t="s">
        <v>1374</v>
      </c>
      <c r="C362" s="19" t="s">
        <v>1429</v>
      </c>
      <c r="D362" s="38"/>
      <c r="E362" s="28">
        <v>1.5064583333333335</v>
      </c>
      <c r="G362" s="72">
        <f t="shared" si="19"/>
        <v>36</v>
      </c>
      <c r="H362" s="78">
        <f t="shared" si="20"/>
        <v>9</v>
      </c>
      <c r="I362" s="72">
        <f t="shared" si="21"/>
        <v>331</v>
      </c>
      <c r="J362" s="72">
        <f t="shared" si="22"/>
        <v>177.32142857142856</v>
      </c>
    </row>
    <row r="363" spans="1:10" ht="12.75">
      <c r="A363" s="19">
        <v>53</v>
      </c>
      <c r="B363" s="19" t="s">
        <v>1313</v>
      </c>
      <c r="C363" s="19" t="s">
        <v>1447</v>
      </c>
      <c r="D363" s="19"/>
      <c r="E363" s="28">
        <v>1.5069444444444444</v>
      </c>
      <c r="G363" s="72">
        <f t="shared" si="19"/>
        <v>36</v>
      </c>
      <c r="H363" s="78">
        <f t="shared" si="20"/>
        <v>10</v>
      </c>
      <c r="I363" s="72">
        <f t="shared" si="21"/>
        <v>330</v>
      </c>
      <c r="J363" s="72">
        <f t="shared" si="22"/>
        <v>173.83928571428572</v>
      </c>
    </row>
    <row r="364" spans="1:10" ht="12.75">
      <c r="A364" s="19">
        <v>54</v>
      </c>
      <c r="B364" s="21" t="s">
        <v>1391</v>
      </c>
      <c r="C364" s="19" t="s">
        <v>1457</v>
      </c>
      <c r="D364" s="38"/>
      <c r="E364" s="28">
        <v>1.5292708333333334</v>
      </c>
      <c r="G364" s="72">
        <f t="shared" si="19"/>
        <v>36</v>
      </c>
      <c r="H364" s="78">
        <f t="shared" si="20"/>
        <v>42</v>
      </c>
      <c r="I364" s="72">
        <f t="shared" si="21"/>
        <v>298</v>
      </c>
      <c r="J364" s="72">
        <f t="shared" si="22"/>
        <v>154.32142857142856</v>
      </c>
    </row>
    <row r="365" spans="1:10" ht="12.75">
      <c r="A365" s="19">
        <v>55</v>
      </c>
      <c r="B365" s="1" t="s">
        <v>1375</v>
      </c>
      <c r="C365" s="1" t="s">
        <v>1429</v>
      </c>
      <c r="D365" s="28"/>
      <c r="E365" s="28">
        <v>1.5307638888888888</v>
      </c>
      <c r="G365" s="72">
        <f t="shared" si="19"/>
        <v>36</v>
      </c>
      <c r="H365" s="78">
        <f t="shared" si="20"/>
        <v>44</v>
      </c>
      <c r="I365" s="72">
        <f t="shared" si="21"/>
        <v>296</v>
      </c>
      <c r="J365" s="72">
        <f t="shared" si="22"/>
        <v>150.64285714285714</v>
      </c>
    </row>
    <row r="366" spans="1:10" ht="12.75">
      <c r="A366" s="19">
        <v>56</v>
      </c>
      <c r="B366" s="21" t="s">
        <v>1389</v>
      </c>
      <c r="C366" s="19" t="s">
        <v>1453</v>
      </c>
      <c r="D366" s="38"/>
      <c r="E366" s="28">
        <v>1.597361111111111</v>
      </c>
      <c r="G366" s="72">
        <f t="shared" si="19"/>
        <v>38</v>
      </c>
      <c r="H366" s="78">
        <f t="shared" si="20"/>
        <v>20</v>
      </c>
      <c r="I366" s="72">
        <f t="shared" si="21"/>
        <v>200</v>
      </c>
      <c r="J366" s="72">
        <f t="shared" si="22"/>
        <v>100</v>
      </c>
    </row>
    <row r="372" ht="12.75" hidden="1" outlineLevel="1"/>
    <row r="373" ht="12.75" hidden="1" outlineLevel="1">
      <c r="K373" s="72" t="s">
        <v>1483</v>
      </c>
    </row>
    <row r="374" spans="3:13" ht="12.75" hidden="1" outlineLevel="1">
      <c r="C374" t="s">
        <v>593</v>
      </c>
      <c r="J374" s="72">
        <f>SUMIF($C$163:$C$226,C374,$J$163:$J$226)+SUMIF($C$311:$C$366,C374,$J$311:$J$366)</f>
        <v>894.9107142857142</v>
      </c>
      <c r="K374" s="72">
        <f>J374/M374</f>
        <v>127.84438775510203</v>
      </c>
      <c r="L374" t="s">
        <v>593</v>
      </c>
      <c r="M374">
        <v>7</v>
      </c>
    </row>
    <row r="375" spans="3:13" ht="12.75" hidden="1" outlineLevel="1">
      <c r="C375" s="1" t="s">
        <v>1449</v>
      </c>
      <c r="J375" s="72">
        <f aca="true" t="shared" si="23" ref="J375:J399">SUMIF($C$163:$C$226,C375,$J$163:$J$226)+SUMIF($C$311:$C$366,C375,$J$311:$J$366)</f>
        <v>586.8515625</v>
      </c>
      <c r="K375" s="72">
        <f>IF(L375=C375,J375/M375,FALSE)</f>
        <v>293.42578125</v>
      </c>
      <c r="L375" t="s">
        <v>1484</v>
      </c>
      <c r="M375">
        <v>2</v>
      </c>
    </row>
    <row r="376" spans="3:13" ht="12.75" hidden="1" outlineLevel="1">
      <c r="C376" s="19" t="s">
        <v>1455</v>
      </c>
      <c r="J376" s="72">
        <f t="shared" si="23"/>
        <v>1352.0323660714284</v>
      </c>
      <c r="K376" s="72">
        <f aca="true" t="shared" si="24" ref="K376:K422">IF(L376=C376,J376/M376,FALSE)</f>
        <v>450.67745535714283</v>
      </c>
      <c r="L376" t="s">
        <v>1485</v>
      </c>
      <c r="M376">
        <v>3</v>
      </c>
    </row>
    <row r="377" spans="3:13" ht="12.75" hidden="1" outlineLevel="1">
      <c r="C377" s="19" t="s">
        <v>1460</v>
      </c>
      <c r="J377" s="72">
        <f t="shared" si="23"/>
        <v>371.8203125</v>
      </c>
      <c r="K377" s="72">
        <f t="shared" si="24"/>
        <v>185.91015625</v>
      </c>
      <c r="L377" t="s">
        <v>1486</v>
      </c>
      <c r="M377">
        <v>2</v>
      </c>
    </row>
    <row r="378" spans="3:13" ht="12.75" hidden="1" outlineLevel="1">
      <c r="C378" s="21" t="s">
        <v>1440</v>
      </c>
      <c r="J378" s="72">
        <f t="shared" si="23"/>
        <v>1868.390625</v>
      </c>
      <c r="K378" s="72">
        <f t="shared" si="24"/>
        <v>373.678125</v>
      </c>
      <c r="L378" t="s">
        <v>1487</v>
      </c>
      <c r="M378">
        <v>5</v>
      </c>
    </row>
    <row r="379" spans="3:13" ht="12.75" hidden="1" outlineLevel="1">
      <c r="C379" s="19" t="s">
        <v>1447</v>
      </c>
      <c r="J379" s="72">
        <f t="shared" si="23"/>
        <v>861.5636160714286</v>
      </c>
      <c r="K379" s="72">
        <f t="shared" si="24"/>
        <v>215.39090401785714</v>
      </c>
      <c r="L379" t="s">
        <v>1488</v>
      </c>
      <c r="M379">
        <v>4</v>
      </c>
    </row>
    <row r="380" spans="3:13" ht="12.75" hidden="1" outlineLevel="1">
      <c r="C380" s="1" t="s">
        <v>1450</v>
      </c>
      <c r="J380" s="72">
        <f t="shared" si="23"/>
        <v>676.84375</v>
      </c>
      <c r="K380" s="72">
        <f t="shared" si="24"/>
        <v>225.61458333333334</v>
      </c>
      <c r="L380" t="s">
        <v>1450</v>
      </c>
      <c r="M380">
        <v>3</v>
      </c>
    </row>
    <row r="381" spans="3:13" ht="12.75" hidden="1" outlineLevel="1">
      <c r="C381" s="2" t="s">
        <v>1029</v>
      </c>
      <c r="J381" s="72">
        <f>SUMIF($C$163:$C$226,C381,$J$163:$J$226)+SUMIF($C$311:$C$366,C381,$J$311:$J$366)</f>
        <v>561.8046875</v>
      </c>
      <c r="K381" s="72">
        <f t="shared" si="24"/>
        <v>280.90234375</v>
      </c>
      <c r="L381" t="s">
        <v>1029</v>
      </c>
      <c r="M381">
        <v>2</v>
      </c>
    </row>
    <row r="382" spans="3:13" ht="12.75" hidden="1" outlineLevel="1">
      <c r="C382" s="19" t="s">
        <v>1438</v>
      </c>
      <c r="J382" s="72">
        <f t="shared" si="23"/>
        <v>688.5301339285714</v>
      </c>
      <c r="K382" s="72">
        <f t="shared" si="24"/>
        <v>229.51004464285714</v>
      </c>
      <c r="L382" t="s">
        <v>1438</v>
      </c>
      <c r="M382">
        <v>3</v>
      </c>
    </row>
    <row r="383" spans="3:13" ht="12.75" hidden="1" outlineLevel="1">
      <c r="C383" s="2" t="s">
        <v>1034</v>
      </c>
      <c r="J383" s="72">
        <f t="shared" si="23"/>
        <v>103.1171875</v>
      </c>
      <c r="K383" s="72">
        <f t="shared" si="24"/>
        <v>103.1171875</v>
      </c>
      <c r="L383" t="s">
        <v>1034</v>
      </c>
      <c r="M383">
        <v>1</v>
      </c>
    </row>
    <row r="384" spans="3:13" ht="12.75" hidden="1" outlineLevel="1">
      <c r="C384" s="19" t="s">
        <v>1451</v>
      </c>
      <c r="J384" s="72">
        <f t="shared" si="23"/>
        <v>607.2767857142858</v>
      </c>
      <c r="K384" s="72">
        <f t="shared" si="24"/>
        <v>202.42559523809527</v>
      </c>
      <c r="L384" t="s">
        <v>1451</v>
      </c>
      <c r="M384">
        <v>3</v>
      </c>
    </row>
    <row r="385" spans="3:13" ht="12.75" hidden="1" outlineLevel="1">
      <c r="C385" s="2" t="s">
        <v>1452</v>
      </c>
      <c r="J385" s="72">
        <f t="shared" si="23"/>
        <v>516.9799107142858</v>
      </c>
      <c r="K385" s="72">
        <f t="shared" si="24"/>
        <v>172.32663690476193</v>
      </c>
      <c r="L385" t="s">
        <v>1452</v>
      </c>
      <c r="M385">
        <v>3</v>
      </c>
    </row>
    <row r="386" spans="3:13" ht="12.75" hidden="1" outlineLevel="1">
      <c r="C386" s="21" t="s">
        <v>1434</v>
      </c>
      <c r="J386" s="72">
        <f t="shared" si="23"/>
        <v>1441.1361607142858</v>
      </c>
      <c r="K386" s="72">
        <f t="shared" si="24"/>
        <v>480.37872023809524</v>
      </c>
      <c r="L386" t="s">
        <v>1434</v>
      </c>
      <c r="M386">
        <v>3</v>
      </c>
    </row>
    <row r="387" spans="3:13" ht="12.75" hidden="1" outlineLevel="1">
      <c r="C387" s="19" t="s">
        <v>843</v>
      </c>
      <c r="J387" s="72">
        <f t="shared" si="23"/>
        <v>573.75</v>
      </c>
      <c r="K387" s="72">
        <f>J387/M387</f>
        <v>191.25</v>
      </c>
      <c r="L387" t="s">
        <v>1427</v>
      </c>
      <c r="M387">
        <v>3</v>
      </c>
    </row>
    <row r="388" spans="3:13" ht="12.75" hidden="1" outlineLevel="1">
      <c r="C388" s="19" t="s">
        <v>1448</v>
      </c>
      <c r="J388" s="72">
        <f t="shared" si="23"/>
        <v>668.5390625</v>
      </c>
      <c r="K388" s="72">
        <f t="shared" si="24"/>
        <v>334.26953125</v>
      </c>
      <c r="L388" t="s">
        <v>1448</v>
      </c>
      <c r="M388">
        <v>2</v>
      </c>
    </row>
    <row r="389" spans="3:13" ht="12.75" hidden="1" outlineLevel="1">
      <c r="C389" s="21" t="s">
        <v>1470</v>
      </c>
      <c r="J389" s="72">
        <f t="shared" si="23"/>
        <v>630.4732142857142</v>
      </c>
      <c r="K389" s="72">
        <f t="shared" si="24"/>
        <v>210.15773809523807</v>
      </c>
      <c r="L389" t="s">
        <v>1470</v>
      </c>
      <c r="M389">
        <v>3</v>
      </c>
    </row>
    <row r="390" spans="3:13" ht="12.75" hidden="1" outlineLevel="1">
      <c r="C390" s="21" t="s">
        <v>1426</v>
      </c>
      <c r="J390" s="72">
        <f t="shared" si="23"/>
        <v>1570.671875</v>
      </c>
      <c r="K390" s="72">
        <f t="shared" si="24"/>
        <v>261.7786458333333</v>
      </c>
      <c r="L390" t="s">
        <v>1426</v>
      </c>
      <c r="M390">
        <v>6</v>
      </c>
    </row>
    <row r="391" spans="3:13" ht="12.75" hidden="1" outlineLevel="1">
      <c r="C391" s="19" t="s">
        <v>1445</v>
      </c>
      <c r="J391" s="72">
        <f t="shared" si="23"/>
        <v>805.3303571428571</v>
      </c>
      <c r="K391" s="72">
        <f t="shared" si="24"/>
        <v>268.44345238095235</v>
      </c>
      <c r="L391" t="s">
        <v>1445</v>
      </c>
      <c r="M391">
        <v>3</v>
      </c>
    </row>
    <row r="392" spans="3:13" ht="12.75" hidden="1" outlineLevel="1">
      <c r="C392" s="19" t="s">
        <v>1431</v>
      </c>
      <c r="J392" s="72">
        <f t="shared" si="23"/>
        <v>965.1953125</v>
      </c>
      <c r="K392" s="72">
        <f t="shared" si="24"/>
        <v>321.7317708333333</v>
      </c>
      <c r="L392" t="s">
        <v>1431</v>
      </c>
      <c r="M392">
        <v>3</v>
      </c>
    </row>
    <row r="393" spans="3:13" ht="12.75" hidden="1" outlineLevel="1">
      <c r="C393" s="1" t="s">
        <v>1437</v>
      </c>
      <c r="J393" s="72">
        <f t="shared" si="23"/>
        <v>499.8515625</v>
      </c>
      <c r="K393" s="72">
        <f t="shared" si="24"/>
        <v>166.6171875</v>
      </c>
      <c r="L393" t="s">
        <v>1437</v>
      </c>
      <c r="M393">
        <v>3</v>
      </c>
    </row>
    <row r="394" spans="3:13" ht="12.75" hidden="1" outlineLevel="1">
      <c r="C394" s="1" t="s">
        <v>1435</v>
      </c>
      <c r="J394" s="72">
        <f t="shared" si="23"/>
        <v>481.03125</v>
      </c>
      <c r="K394" s="72">
        <f t="shared" si="24"/>
        <v>160.34375</v>
      </c>
      <c r="L394" t="s">
        <v>1435</v>
      </c>
      <c r="M394">
        <v>3</v>
      </c>
    </row>
    <row r="395" spans="3:13" ht="12.75" hidden="1" outlineLevel="1">
      <c r="C395" s="21" t="s">
        <v>1473</v>
      </c>
      <c r="J395" s="72">
        <f t="shared" si="23"/>
        <v>866.9185267857142</v>
      </c>
      <c r="K395" s="72">
        <f t="shared" si="24"/>
        <v>288.97284226190476</v>
      </c>
      <c r="L395" t="s">
        <v>1473</v>
      </c>
      <c r="M395">
        <v>3</v>
      </c>
    </row>
    <row r="396" spans="3:13" ht="12.75" hidden="1" outlineLevel="1">
      <c r="C396" s="19" t="s">
        <v>1429</v>
      </c>
      <c r="J396" s="72">
        <f t="shared" si="23"/>
        <v>541.3861607142857</v>
      </c>
      <c r="K396" s="72">
        <f>J398</f>
        <v>91.40625</v>
      </c>
      <c r="L396" t="s">
        <v>1489</v>
      </c>
      <c r="M396">
        <v>1</v>
      </c>
    </row>
    <row r="397" spans="3:13" ht="12.75" hidden="1" outlineLevel="1">
      <c r="C397" s="19" t="s">
        <v>1472</v>
      </c>
      <c r="J397" s="72">
        <f t="shared" si="23"/>
        <v>345.5357142857143</v>
      </c>
      <c r="K397" s="72">
        <f>J396/M397</f>
        <v>180.46205357142856</v>
      </c>
      <c r="L397" t="s">
        <v>1429</v>
      </c>
      <c r="M397">
        <v>3</v>
      </c>
    </row>
    <row r="398" spans="3:13" ht="12.75" hidden="1" outlineLevel="1">
      <c r="C398" s="2" t="s">
        <v>1032</v>
      </c>
      <c r="J398" s="72">
        <f t="shared" si="23"/>
        <v>91.40625</v>
      </c>
      <c r="K398" s="72">
        <f>J397/M398</f>
        <v>115.17857142857143</v>
      </c>
      <c r="L398" t="s">
        <v>1017</v>
      </c>
      <c r="M398">
        <v>3</v>
      </c>
    </row>
    <row r="399" spans="3:13" ht="12.75" hidden="1" outlineLevel="1">
      <c r="C399" s="19" t="s">
        <v>1031</v>
      </c>
      <c r="J399" s="72">
        <f t="shared" si="23"/>
        <v>122.03125</v>
      </c>
      <c r="K399" s="72">
        <f t="shared" si="24"/>
        <v>122.03125</v>
      </c>
      <c r="L399" t="s">
        <v>1031</v>
      </c>
      <c r="M399">
        <v>1</v>
      </c>
    </row>
    <row r="400" spans="3:13" ht="12.75" hidden="1" outlineLevel="1">
      <c r="C400" s="1" t="s">
        <v>1428</v>
      </c>
      <c r="J400" s="72">
        <f aca="true" t="shared" si="25" ref="J400:J422">SUMIF($C$163:$C$226,C400,$J$163:$J$226)+SUMIF($C$311:$C$366,C400,$J$311:$J$366)</f>
        <v>708.375</v>
      </c>
      <c r="K400" s="72">
        <f t="shared" si="24"/>
        <v>236.125</v>
      </c>
      <c r="L400" t="s">
        <v>1428</v>
      </c>
      <c r="M400">
        <v>3</v>
      </c>
    </row>
    <row r="401" spans="3:13" ht="12.75" hidden="1" outlineLevel="1">
      <c r="C401" s="2" t="s">
        <v>1027</v>
      </c>
      <c r="J401" s="72">
        <f t="shared" si="25"/>
        <v>361.25</v>
      </c>
      <c r="K401" s="72">
        <f t="shared" si="24"/>
        <v>180.625</v>
      </c>
      <c r="L401" t="s">
        <v>1027</v>
      </c>
      <c r="M401">
        <v>2</v>
      </c>
    </row>
    <row r="402" spans="3:13" ht="12.75" hidden="1" outlineLevel="1">
      <c r="C402" s="2" t="s">
        <v>1436</v>
      </c>
      <c r="J402" s="72">
        <f t="shared" si="25"/>
        <v>518.28125</v>
      </c>
      <c r="K402" s="72">
        <f>J402/M402</f>
        <v>172.76041666666666</v>
      </c>
      <c r="L402" t="s">
        <v>1022</v>
      </c>
      <c r="M402">
        <v>3</v>
      </c>
    </row>
    <row r="403" spans="3:13" ht="12.75" hidden="1" outlineLevel="1">
      <c r="C403" s="19" t="s">
        <v>1471</v>
      </c>
      <c r="J403" s="72">
        <f t="shared" si="25"/>
        <v>699.8035714285714</v>
      </c>
      <c r="K403" s="72">
        <f t="shared" si="24"/>
        <v>233.26785714285714</v>
      </c>
      <c r="L403" t="s">
        <v>1471</v>
      </c>
      <c r="M403">
        <v>3</v>
      </c>
    </row>
    <row r="404" spans="3:13" ht="12.75" hidden="1" outlineLevel="1">
      <c r="C404" s="21" t="s">
        <v>1430</v>
      </c>
      <c r="J404" s="72">
        <f t="shared" si="25"/>
        <v>649.3839285714286</v>
      </c>
      <c r="K404" s="72">
        <f t="shared" si="24"/>
        <v>216.46130952380952</v>
      </c>
      <c r="L404" t="s">
        <v>1430</v>
      </c>
      <c r="M404">
        <v>3</v>
      </c>
    </row>
    <row r="405" spans="3:13" ht="12.75" hidden="1" outlineLevel="1">
      <c r="C405" s="19" t="s">
        <v>589</v>
      </c>
      <c r="J405" s="72">
        <f t="shared" si="25"/>
        <v>942.9196428571429</v>
      </c>
      <c r="K405" s="72">
        <f t="shared" si="24"/>
        <v>235.72991071428572</v>
      </c>
      <c r="L405" t="s">
        <v>589</v>
      </c>
      <c r="M405">
        <v>4</v>
      </c>
    </row>
    <row r="406" spans="3:13" ht="12.75" hidden="1" outlineLevel="1">
      <c r="C406" s="19" t="s">
        <v>1433</v>
      </c>
      <c r="J406" s="72">
        <f t="shared" si="25"/>
        <v>1782.296875</v>
      </c>
      <c r="K406" s="72">
        <f t="shared" si="24"/>
        <v>254.61383928571428</v>
      </c>
      <c r="L406" t="s">
        <v>1433</v>
      </c>
      <c r="M406">
        <v>7</v>
      </c>
    </row>
    <row r="407" spans="3:13" ht="12.75" hidden="1" outlineLevel="1">
      <c r="C407" s="21" t="s">
        <v>588</v>
      </c>
      <c r="J407" s="72">
        <f t="shared" si="25"/>
        <v>473.7857142857143</v>
      </c>
      <c r="K407" s="72">
        <f>J407/M407</f>
        <v>157.92857142857142</v>
      </c>
      <c r="L407" t="s">
        <v>1444</v>
      </c>
      <c r="M407">
        <v>3</v>
      </c>
    </row>
    <row r="408" spans="3:13" ht="12.75" hidden="1" outlineLevel="1">
      <c r="C408" s="19" t="s">
        <v>595</v>
      </c>
      <c r="J408" s="72">
        <f t="shared" si="25"/>
        <v>328</v>
      </c>
      <c r="K408" s="72">
        <f>J408/M408</f>
        <v>109.33333333333333</v>
      </c>
      <c r="L408" t="s">
        <v>1461</v>
      </c>
      <c r="M408">
        <v>3</v>
      </c>
    </row>
    <row r="409" spans="3:13" ht="12.75" hidden="1" outlineLevel="1">
      <c r="C409" s="1" t="s">
        <v>1033</v>
      </c>
      <c r="J409" s="72">
        <f t="shared" si="25"/>
        <v>105.1875</v>
      </c>
      <c r="K409" s="72">
        <f>J409/M409</f>
        <v>105.1875</v>
      </c>
      <c r="L409" t="s">
        <v>1490</v>
      </c>
      <c r="M409">
        <v>1</v>
      </c>
    </row>
    <row r="410" spans="3:13" ht="12.75" hidden="1" outlineLevel="1">
      <c r="C410" s="19" t="s">
        <v>1463</v>
      </c>
      <c r="J410" s="72">
        <f t="shared" si="25"/>
        <v>298.265625</v>
      </c>
      <c r="K410" s="72">
        <f t="shared" si="24"/>
        <v>99.421875</v>
      </c>
      <c r="L410" t="s">
        <v>1463</v>
      </c>
      <c r="M410">
        <v>3</v>
      </c>
    </row>
    <row r="411" spans="3:13" ht="12.75" hidden="1" outlineLevel="1">
      <c r="C411" s="19" t="s">
        <v>596</v>
      </c>
      <c r="J411" s="72">
        <f t="shared" si="25"/>
        <v>602.9464285714287</v>
      </c>
      <c r="K411" s="72">
        <f t="shared" si="24"/>
        <v>200.9821428571429</v>
      </c>
      <c r="L411" t="s">
        <v>596</v>
      </c>
      <c r="M411">
        <v>3</v>
      </c>
    </row>
    <row r="412" spans="3:13" ht="12.75" hidden="1" outlineLevel="1">
      <c r="C412" s="19" t="s">
        <v>1462</v>
      </c>
      <c r="J412" s="72">
        <f t="shared" si="25"/>
        <v>917.3091517857142</v>
      </c>
      <c r="K412" s="72">
        <f t="shared" si="24"/>
        <v>305.76971726190476</v>
      </c>
      <c r="L412" t="s">
        <v>1462</v>
      </c>
      <c r="M412">
        <v>3</v>
      </c>
    </row>
    <row r="413" spans="3:13" ht="12.75" hidden="1" outlineLevel="1">
      <c r="C413" s="21" t="s">
        <v>1015</v>
      </c>
      <c r="J413" s="72">
        <f t="shared" si="25"/>
        <v>844.9497767857142</v>
      </c>
      <c r="K413" s="72">
        <f t="shared" si="24"/>
        <v>281.6499255952381</v>
      </c>
      <c r="L413" t="s">
        <v>1015</v>
      </c>
      <c r="M413">
        <v>3</v>
      </c>
    </row>
    <row r="414" spans="3:13" ht="12.75" hidden="1" outlineLevel="1">
      <c r="C414" s="21" t="s">
        <v>627</v>
      </c>
      <c r="J414" s="72">
        <f t="shared" si="25"/>
        <v>672.3214285714287</v>
      </c>
      <c r="K414" s="72">
        <f t="shared" si="24"/>
        <v>224.1071428571429</v>
      </c>
      <c r="L414" t="s">
        <v>627</v>
      </c>
      <c r="M414">
        <v>3</v>
      </c>
    </row>
    <row r="415" spans="3:13" ht="12.75" hidden="1" outlineLevel="1">
      <c r="C415" s="19" t="s">
        <v>1457</v>
      </c>
      <c r="J415" s="72">
        <f t="shared" si="25"/>
        <v>601.8839285714286</v>
      </c>
      <c r="K415" s="72">
        <f t="shared" si="24"/>
        <v>200.62797619047618</v>
      </c>
      <c r="L415" t="s">
        <v>1457</v>
      </c>
      <c r="M415">
        <v>3</v>
      </c>
    </row>
    <row r="416" spans="3:13" ht="12.75" hidden="1" outlineLevel="1">
      <c r="C416" s="2" t="s">
        <v>1030</v>
      </c>
      <c r="J416" s="72">
        <f t="shared" si="25"/>
        <v>317.421875</v>
      </c>
      <c r="K416" s="72">
        <f t="shared" si="24"/>
        <v>158.7109375</v>
      </c>
      <c r="L416" t="s">
        <v>1030</v>
      </c>
      <c r="M416">
        <v>2</v>
      </c>
    </row>
    <row r="417" spans="3:13" ht="12.75" hidden="1" outlineLevel="1">
      <c r="C417" s="21" t="s">
        <v>1468</v>
      </c>
      <c r="J417" s="72">
        <f t="shared" si="25"/>
        <v>1190.017857142857</v>
      </c>
      <c r="K417" s="72">
        <f t="shared" si="24"/>
        <v>297.5044642857143</v>
      </c>
      <c r="L417" t="s">
        <v>1468</v>
      </c>
      <c r="M417">
        <v>4</v>
      </c>
    </row>
    <row r="418" spans="3:13" ht="12.75" hidden="1" outlineLevel="1">
      <c r="C418" s="21" t="s">
        <v>1443</v>
      </c>
      <c r="J418" s="72">
        <f t="shared" si="25"/>
        <v>1288.5892857142858</v>
      </c>
      <c r="K418" s="72">
        <f t="shared" si="24"/>
        <v>322.14732142857144</v>
      </c>
      <c r="L418" t="s">
        <v>1443</v>
      </c>
      <c r="M418">
        <v>4</v>
      </c>
    </row>
    <row r="419" spans="3:13" ht="12.75" hidden="1" outlineLevel="1">
      <c r="C419" s="19" t="s">
        <v>1469</v>
      </c>
      <c r="J419" s="72">
        <f t="shared" si="25"/>
        <v>422.1607142857143</v>
      </c>
      <c r="K419" s="72">
        <f t="shared" si="24"/>
        <v>140.7202380952381</v>
      </c>
      <c r="L419" t="s">
        <v>1469</v>
      </c>
      <c r="M419">
        <v>3</v>
      </c>
    </row>
    <row r="420" spans="3:13" ht="12.75" hidden="1" outlineLevel="1">
      <c r="C420" s="19" t="s">
        <v>1018</v>
      </c>
      <c r="J420" s="72">
        <f t="shared" si="25"/>
        <v>307.5357142857143</v>
      </c>
      <c r="K420" s="72">
        <f>J420/M420</f>
        <v>102.51190476190476</v>
      </c>
      <c r="L420" t="s">
        <v>1441</v>
      </c>
      <c r="M420">
        <v>3</v>
      </c>
    </row>
    <row r="421" spans="3:13" ht="12.75" hidden="1" outlineLevel="1">
      <c r="C421" s="2" t="s">
        <v>1458</v>
      </c>
      <c r="J421" s="72">
        <f t="shared" si="25"/>
        <v>730.2901785714286</v>
      </c>
      <c r="K421" s="72">
        <f t="shared" si="24"/>
        <v>243.43005952380952</v>
      </c>
      <c r="L421" t="s">
        <v>1458</v>
      </c>
      <c r="M421">
        <v>3</v>
      </c>
    </row>
    <row r="422" spans="3:13" ht="12.75" hidden="1" outlineLevel="1">
      <c r="C422" s="19" t="s">
        <v>1453</v>
      </c>
      <c r="J422" s="72">
        <f t="shared" si="25"/>
        <v>524.078125</v>
      </c>
      <c r="K422" s="72">
        <f t="shared" si="24"/>
        <v>174.69270833333334</v>
      </c>
      <c r="L422" t="s">
        <v>1453</v>
      </c>
      <c r="M422">
        <v>3</v>
      </c>
    </row>
    <row r="423" ht="12.75" hidden="1" outlineLevel="1"/>
    <row r="424" ht="12.75" hidden="1" outlineLevel="1"/>
    <row r="425" ht="12.75" hidden="1" outlineLevel="1"/>
    <row r="426" ht="12.75" collapsed="1"/>
  </sheetData>
  <mergeCells count="20">
    <mergeCell ref="A286:D286"/>
    <mergeCell ref="A297:D297"/>
    <mergeCell ref="A242:D242"/>
    <mergeCell ref="A253:D253"/>
    <mergeCell ref="A264:D264"/>
    <mergeCell ref="A275:D275"/>
    <mergeCell ref="B230:D230"/>
    <mergeCell ref="A231:D231"/>
    <mergeCell ref="A127:C127"/>
    <mergeCell ref="A138:C138"/>
    <mergeCell ref="A149:C149"/>
    <mergeCell ref="A83:C83"/>
    <mergeCell ref="A94:C94"/>
    <mergeCell ref="A105:C105"/>
    <mergeCell ref="A116:C116"/>
    <mergeCell ref="A72:C72"/>
    <mergeCell ref="A4:D4"/>
    <mergeCell ref="A2:D2"/>
    <mergeCell ref="A69:D69"/>
    <mergeCell ref="A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C58">
      <selection activeCell="J78" sqref="J78"/>
    </sheetView>
  </sheetViews>
  <sheetFormatPr defaultColWidth="9.00390625" defaultRowHeight="12.75"/>
  <cols>
    <col min="1" max="1" width="3.75390625" style="0" customWidth="1"/>
    <col min="2" max="2" width="29.00390625" style="0" customWidth="1"/>
    <col min="3" max="3" width="27.625" style="0" customWidth="1"/>
    <col min="4" max="4" width="28.75390625" style="0" customWidth="1"/>
    <col min="5" max="5" width="26.00390625" style="0" customWidth="1"/>
    <col min="6" max="6" width="8.625" style="0" customWidth="1"/>
    <col min="7" max="8" width="10.25390625" style="0" customWidth="1"/>
    <col min="10" max="10" width="10.625" style="0" customWidth="1"/>
    <col min="11" max="11" width="12.625" style="0" customWidth="1"/>
  </cols>
  <sheetData>
    <row r="1" spans="7:11" ht="12.75">
      <c r="G1" s="133"/>
      <c r="H1" s="133"/>
      <c r="I1" s="133"/>
      <c r="J1" s="133"/>
      <c r="K1" s="133"/>
    </row>
    <row r="2" spans="1:12" ht="12.75">
      <c r="A2" s="134" t="s">
        <v>1040</v>
      </c>
      <c r="B2" s="134"/>
      <c r="C2" s="134"/>
      <c r="D2" s="134"/>
      <c r="G2" s="94"/>
      <c r="H2" s="94"/>
      <c r="I2" s="94"/>
      <c r="J2" s="94"/>
      <c r="K2" s="94"/>
      <c r="L2" s="94"/>
    </row>
    <row r="3" spans="1:12" ht="12.75">
      <c r="A3" s="1"/>
      <c r="B3" s="1"/>
      <c r="C3" s="1" t="s">
        <v>1498</v>
      </c>
      <c r="D3" s="1" t="s">
        <v>577</v>
      </c>
      <c r="G3" s="94"/>
      <c r="H3" s="94"/>
      <c r="I3" s="94"/>
      <c r="J3" s="94"/>
      <c r="K3" s="94"/>
      <c r="L3" s="94"/>
    </row>
    <row r="4" spans="1:12" ht="12.75">
      <c r="A4" s="1"/>
      <c r="B4" s="19" t="s">
        <v>989</v>
      </c>
      <c r="C4" s="19" t="s">
        <v>963</v>
      </c>
      <c r="D4" s="19" t="s">
        <v>593</v>
      </c>
      <c r="G4" s="94"/>
      <c r="H4" s="94"/>
      <c r="I4" s="94"/>
      <c r="J4" s="94"/>
      <c r="K4" s="94"/>
      <c r="L4" s="94"/>
    </row>
    <row r="5" spans="7:12" ht="12.75">
      <c r="G5" s="94"/>
      <c r="H5" s="94"/>
      <c r="I5" s="94"/>
      <c r="J5" s="94"/>
      <c r="K5" s="94"/>
      <c r="L5" s="94"/>
    </row>
    <row r="6" spans="1:12" ht="12.75">
      <c r="A6" s="130" t="s">
        <v>62</v>
      </c>
      <c r="B6" s="130"/>
      <c r="C6" s="130"/>
      <c r="D6" s="130"/>
      <c r="E6" s="18"/>
      <c r="F6" s="18"/>
      <c r="G6" s="94"/>
      <c r="H6" s="94"/>
      <c r="I6" s="94"/>
      <c r="J6" s="94"/>
      <c r="K6" s="94"/>
      <c r="L6" s="94"/>
    </row>
    <row r="7" spans="1:12" ht="12.75" customHeight="1">
      <c r="A7" s="40"/>
      <c r="B7" s="40"/>
      <c r="C7" s="40"/>
      <c r="D7" s="40"/>
      <c r="E7" s="18"/>
      <c r="F7" s="18"/>
      <c r="G7" s="94"/>
      <c r="H7" s="94"/>
      <c r="I7" s="94"/>
      <c r="J7" s="94"/>
      <c r="K7" s="94"/>
      <c r="L7" s="94"/>
    </row>
    <row r="8" spans="1:12" ht="12.75">
      <c r="A8" s="16"/>
      <c r="B8" s="131" t="s">
        <v>1041</v>
      </c>
      <c r="C8" s="131"/>
      <c r="D8" s="131"/>
      <c r="E8" s="18"/>
      <c r="F8" s="18"/>
      <c r="G8" s="94"/>
      <c r="H8" s="94"/>
      <c r="I8" s="94"/>
      <c r="J8" s="94"/>
      <c r="K8" s="94"/>
      <c r="L8" s="94"/>
    </row>
    <row r="9" spans="1:12" ht="12.75" customHeight="1">
      <c r="A9" s="16"/>
      <c r="B9" s="126" t="s">
        <v>1499</v>
      </c>
      <c r="C9" s="126"/>
      <c r="D9" s="126"/>
      <c r="E9" s="18"/>
      <c r="F9" s="18"/>
      <c r="G9" s="94"/>
      <c r="H9" s="94"/>
      <c r="I9" s="94"/>
      <c r="J9" s="94"/>
      <c r="K9" s="94"/>
      <c r="L9" s="94"/>
    </row>
    <row r="10" spans="1:12" ht="12.75" customHeight="1">
      <c r="A10" s="16"/>
      <c r="B10" s="16"/>
      <c r="C10" s="95" t="s">
        <v>1500</v>
      </c>
      <c r="D10" s="16"/>
      <c r="E10" s="18"/>
      <c r="F10" s="18"/>
      <c r="G10" s="94"/>
      <c r="H10" s="94"/>
      <c r="I10" s="94"/>
      <c r="J10" s="94"/>
      <c r="K10" s="94"/>
      <c r="L10" s="94"/>
    </row>
    <row r="11" spans="1:12" ht="12.75" customHeight="1">
      <c r="A11" s="16"/>
      <c r="B11" s="129" t="s">
        <v>1035</v>
      </c>
      <c r="C11" s="129"/>
      <c r="D11" s="129"/>
      <c r="E11" s="18"/>
      <c r="F11" s="18"/>
      <c r="G11" s="94"/>
      <c r="H11" s="94"/>
      <c r="I11" s="94"/>
      <c r="J11" s="94"/>
      <c r="K11" s="94"/>
      <c r="L11" s="94"/>
    </row>
    <row r="12" spans="1:12" ht="12.75" customHeight="1">
      <c r="A12" s="16"/>
      <c r="B12" s="16"/>
      <c r="C12" s="95" t="s">
        <v>1042</v>
      </c>
      <c r="D12" s="16"/>
      <c r="E12" s="18"/>
      <c r="F12" s="18"/>
      <c r="G12" s="94"/>
      <c r="H12" s="94"/>
      <c r="I12" s="94"/>
      <c r="J12" s="94"/>
      <c r="K12" s="94"/>
      <c r="L12" s="94"/>
    </row>
    <row r="13" spans="1:9" ht="12.75">
      <c r="A13" s="29"/>
      <c r="C13" s="61"/>
      <c r="D13" s="29"/>
      <c r="E13" s="18"/>
      <c r="F13" s="18"/>
      <c r="I13" s="124">
        <v>3000</v>
      </c>
    </row>
    <row r="14" spans="1:10" ht="12.75" customHeight="1">
      <c r="A14" s="1" t="s">
        <v>940</v>
      </c>
      <c r="B14" s="1" t="s">
        <v>958</v>
      </c>
      <c r="C14" s="1" t="s">
        <v>577</v>
      </c>
      <c r="D14" s="1" t="s">
        <v>578</v>
      </c>
      <c r="E14" s="38" t="s">
        <v>28</v>
      </c>
      <c r="F14" s="96"/>
      <c r="G14" s="96"/>
      <c r="J14" s="46" t="s">
        <v>1481</v>
      </c>
    </row>
    <row r="15" spans="1:10" ht="12.75">
      <c r="A15" s="19">
        <v>1</v>
      </c>
      <c r="B15" s="120" t="str">
        <f>'1-2 попер.раунди_10км'!G12</f>
        <v>Олександр Дробний (1986)</v>
      </c>
      <c r="C15" s="60" t="s">
        <v>593</v>
      </c>
      <c r="D15" s="38" t="s">
        <v>999</v>
      </c>
      <c r="E15" s="54">
        <v>1.219675925925926</v>
      </c>
      <c r="F15" s="18"/>
      <c r="G15" s="72"/>
      <c r="H15" s="78"/>
      <c r="I15" s="72"/>
      <c r="J15" s="72"/>
    </row>
    <row r="16" spans="1:10" ht="12.75">
      <c r="A16" s="19">
        <v>2</v>
      </c>
      <c r="B16" s="121" t="str">
        <f>'1-2 попер.раунди_10км'!H13</f>
        <v>Йохан Кiрлендер (1988)</v>
      </c>
      <c r="C16" s="38" t="s">
        <v>1426</v>
      </c>
      <c r="D16" s="38" t="s">
        <v>1504</v>
      </c>
      <c r="E16" s="54">
        <v>1.2492939814814814</v>
      </c>
      <c r="G16" s="72"/>
      <c r="H16" s="78"/>
      <c r="I16" s="72"/>
      <c r="J16" s="72"/>
    </row>
    <row r="17" spans="1:10" ht="12.75">
      <c r="A17" s="19">
        <v>3</v>
      </c>
      <c r="B17" s="121" t="str">
        <f>'1-2 попер.раунди_10км'!G13</f>
        <v>Петер Ван Куран (1984)</v>
      </c>
      <c r="C17" s="38" t="s">
        <v>1426</v>
      </c>
      <c r="D17" s="60" t="s">
        <v>757</v>
      </c>
      <c r="E17" s="54">
        <v>1.2577546296296296</v>
      </c>
      <c r="G17" s="72"/>
      <c r="H17" s="78"/>
      <c r="I17" s="72"/>
      <c r="J17" s="72"/>
    </row>
    <row r="18" spans="1:10" ht="12.75">
      <c r="A18" s="19">
        <v>4</v>
      </c>
      <c r="B18" s="121" t="str">
        <f>'1-2 попер.раунди_10км'!G17</f>
        <v>Сініша Сольяковіч (1985)</v>
      </c>
      <c r="C18" s="60" t="s">
        <v>1443</v>
      </c>
      <c r="D18" s="38" t="s">
        <v>1507</v>
      </c>
      <c r="E18" s="54">
        <v>1.2581597222222223</v>
      </c>
      <c r="G18" s="72"/>
      <c r="H18" s="78"/>
      <c r="I18" s="72"/>
      <c r="J18" s="72"/>
    </row>
    <row r="19" spans="1:10" ht="12.75">
      <c r="A19" s="19">
        <v>5</v>
      </c>
      <c r="B19" s="38" t="s">
        <v>1493</v>
      </c>
      <c r="C19" s="38" t="s">
        <v>1433</v>
      </c>
      <c r="D19" s="38" t="s">
        <v>1505</v>
      </c>
      <c r="E19" s="122">
        <v>1.2639467592592593</v>
      </c>
      <c r="G19" s="72"/>
      <c r="H19" s="78"/>
      <c r="I19" s="72"/>
      <c r="J19" s="72"/>
    </row>
    <row r="20" spans="1:10" ht="12.75">
      <c r="A20" s="19">
        <v>6</v>
      </c>
      <c r="B20" s="38" t="s">
        <v>1494</v>
      </c>
      <c r="C20" s="38" t="s">
        <v>1433</v>
      </c>
      <c r="D20" s="60" t="s">
        <v>1506</v>
      </c>
      <c r="E20" s="54">
        <v>1.2689699074074074</v>
      </c>
      <c r="G20" s="72"/>
      <c r="H20" s="78"/>
      <c r="I20" s="72"/>
      <c r="J20" s="72"/>
    </row>
    <row r="21" spans="1:10" ht="12.75">
      <c r="A21" s="19">
        <v>7</v>
      </c>
      <c r="B21" s="60" t="s">
        <v>1305</v>
      </c>
      <c r="C21" s="60" t="s">
        <v>1468</v>
      </c>
      <c r="D21" s="60" t="s">
        <v>633</v>
      </c>
      <c r="E21" s="54">
        <v>1.2890162037037036</v>
      </c>
      <c r="G21" s="72"/>
      <c r="H21" s="78"/>
      <c r="I21" s="72"/>
      <c r="J21" s="72"/>
    </row>
    <row r="22" spans="1:10" ht="12.75">
      <c r="A22" s="19">
        <v>8</v>
      </c>
      <c r="B22" s="87" t="s">
        <v>1336</v>
      </c>
      <c r="C22" s="19" t="s">
        <v>843</v>
      </c>
      <c r="D22" s="19"/>
      <c r="E22" s="28">
        <v>1.292025462962963</v>
      </c>
      <c r="G22" s="125">
        <f aca="true" t="shared" si="0" ref="G22:G68">HOUR(E22)+24</f>
        <v>31</v>
      </c>
      <c r="H22" s="125">
        <f aca="true" t="shared" si="1" ref="H22:H68">MINUTE(E22)</f>
        <v>0</v>
      </c>
      <c r="I22" s="125">
        <f aca="true" t="shared" si="2" ref="I22:I68">$I$13-G22*60-H22</f>
        <v>1140</v>
      </c>
      <c r="J22" s="78">
        <f aca="true" t="shared" si="3" ref="J22:J68">I22*(1-A22/108)</f>
        <v>1055.5555555555557</v>
      </c>
    </row>
    <row r="23" spans="1:10" ht="12.75">
      <c r="A23" s="19">
        <v>9</v>
      </c>
      <c r="B23" s="2" t="s">
        <v>1304</v>
      </c>
      <c r="C23" s="2" t="s">
        <v>1468</v>
      </c>
      <c r="D23" s="2"/>
      <c r="E23" s="28">
        <v>1.2980439814814815</v>
      </c>
      <c r="G23" s="125">
        <f t="shared" si="0"/>
        <v>31</v>
      </c>
      <c r="H23" s="125">
        <f t="shared" si="1"/>
        <v>9</v>
      </c>
      <c r="I23" s="125">
        <f t="shared" si="2"/>
        <v>1131</v>
      </c>
      <c r="J23" s="78">
        <f t="shared" si="3"/>
        <v>1036.75</v>
      </c>
    </row>
    <row r="24" spans="1:10" ht="12.75">
      <c r="A24" s="19">
        <v>10</v>
      </c>
      <c r="B24" s="116" t="str">
        <f>'1-2 попер.раунди_10км'!G16</f>
        <v>Т'єрі Гудерма (1986)</v>
      </c>
      <c r="C24" s="1" t="s">
        <v>1468</v>
      </c>
      <c r="D24" s="60"/>
      <c r="E24" s="5">
        <v>1.3028935185185186</v>
      </c>
      <c r="G24" s="125">
        <f t="shared" si="0"/>
        <v>31</v>
      </c>
      <c r="H24" s="125">
        <f t="shared" si="1"/>
        <v>16</v>
      </c>
      <c r="I24" s="125">
        <f t="shared" si="2"/>
        <v>1124</v>
      </c>
      <c r="J24" s="78">
        <f t="shared" si="3"/>
        <v>1019.925925925926</v>
      </c>
    </row>
    <row r="25" spans="1:10" ht="12.75">
      <c r="A25" s="19">
        <v>11</v>
      </c>
      <c r="B25" s="115" t="str">
        <f>'1-2 попер.раунди_10км'!G15</f>
        <v>Едуардо Веласса (1983)</v>
      </c>
      <c r="C25" s="19" t="s">
        <v>1440</v>
      </c>
      <c r="D25" s="19"/>
      <c r="E25" s="28">
        <v>1.3029050925925925</v>
      </c>
      <c r="G25" s="125">
        <f t="shared" si="0"/>
        <v>31</v>
      </c>
      <c r="H25" s="125">
        <f t="shared" si="1"/>
        <v>16</v>
      </c>
      <c r="I25" s="125">
        <f t="shared" si="2"/>
        <v>1124</v>
      </c>
      <c r="J25" s="78">
        <f t="shared" si="3"/>
        <v>1009.5185185185185</v>
      </c>
    </row>
    <row r="26" spans="1:10" ht="12.75">
      <c r="A26" s="19">
        <v>12</v>
      </c>
      <c r="B26" s="116" t="str">
        <f>'1-2 попер.раунди_10км'!J13</f>
        <v>Вiльгельм Штопар (1986)</v>
      </c>
      <c r="C26" s="21" t="s">
        <v>1426</v>
      </c>
      <c r="D26" s="21"/>
      <c r="E26" s="28">
        <v>1.3034837962962962</v>
      </c>
      <c r="G26" s="125">
        <f t="shared" si="0"/>
        <v>31</v>
      </c>
      <c r="H26" s="125">
        <f t="shared" si="1"/>
        <v>17</v>
      </c>
      <c r="I26" s="125">
        <f t="shared" si="2"/>
        <v>1123</v>
      </c>
      <c r="J26" s="78">
        <f t="shared" si="3"/>
        <v>998.2222222222222</v>
      </c>
    </row>
    <row r="27" spans="1:10" ht="12.75">
      <c r="A27" s="19">
        <v>13</v>
      </c>
      <c r="B27" s="116" t="str">
        <f>'1-2 попер.раунди_10км'!I13</f>
        <v>Томаш Заучхельд (1988)</v>
      </c>
      <c r="C27" s="21" t="s">
        <v>1426</v>
      </c>
      <c r="D27" s="19"/>
      <c r="E27" s="28">
        <v>1.3071643518518519</v>
      </c>
      <c r="G27" s="125">
        <f t="shared" si="0"/>
        <v>31</v>
      </c>
      <c r="H27" s="125">
        <f t="shared" si="1"/>
        <v>22</v>
      </c>
      <c r="I27" s="125">
        <f t="shared" si="2"/>
        <v>1118</v>
      </c>
      <c r="J27" s="78">
        <f t="shared" si="3"/>
        <v>983.425925925926</v>
      </c>
    </row>
    <row r="28" spans="1:10" ht="12.75">
      <c r="A28" s="19">
        <v>14</v>
      </c>
      <c r="B28" s="73" t="str">
        <f>'1-2 попер.раунди_10км'!H16</f>
        <v>Патрік Ревуа (1987)</v>
      </c>
      <c r="C28" s="1" t="s">
        <v>1468</v>
      </c>
      <c r="D28" s="2"/>
      <c r="E28" s="5">
        <v>1.309849537037037</v>
      </c>
      <c r="G28" s="125">
        <f t="shared" si="0"/>
        <v>31</v>
      </c>
      <c r="H28" s="125">
        <f t="shared" si="1"/>
        <v>26</v>
      </c>
      <c r="I28" s="125">
        <f t="shared" si="2"/>
        <v>1114</v>
      </c>
      <c r="J28" s="78">
        <f t="shared" si="3"/>
        <v>969.5925925925926</v>
      </c>
    </row>
    <row r="29" spans="1:10" ht="12.75" customHeight="1">
      <c r="A29" s="19">
        <v>15</v>
      </c>
      <c r="B29" s="2" t="s">
        <v>1295</v>
      </c>
      <c r="C29" s="1" t="s">
        <v>1433</v>
      </c>
      <c r="D29" s="28"/>
      <c r="E29" s="28">
        <v>1.314988425925926</v>
      </c>
      <c r="G29" s="125">
        <f t="shared" si="0"/>
        <v>31</v>
      </c>
      <c r="H29" s="125">
        <f t="shared" si="1"/>
        <v>33</v>
      </c>
      <c r="I29" s="125">
        <f t="shared" si="2"/>
        <v>1107</v>
      </c>
      <c r="J29" s="78">
        <f t="shared" si="3"/>
        <v>953.25</v>
      </c>
    </row>
    <row r="30" spans="1:10" ht="12.75">
      <c r="A30" s="19">
        <v>16</v>
      </c>
      <c r="B30" s="1" t="s">
        <v>1296</v>
      </c>
      <c r="C30" s="1" t="s">
        <v>1433</v>
      </c>
      <c r="D30" s="1"/>
      <c r="E30" s="28">
        <v>1.3230439814814814</v>
      </c>
      <c r="G30" s="125">
        <f t="shared" si="0"/>
        <v>31</v>
      </c>
      <c r="H30" s="125">
        <f t="shared" si="1"/>
        <v>45</v>
      </c>
      <c r="I30" s="125">
        <f t="shared" si="2"/>
        <v>1095</v>
      </c>
      <c r="J30" s="78">
        <f t="shared" si="3"/>
        <v>932.7777777777778</v>
      </c>
    </row>
    <row r="31" spans="1:10" ht="12.75">
      <c r="A31" s="19">
        <v>17</v>
      </c>
      <c r="B31" s="21" t="s">
        <v>1360</v>
      </c>
      <c r="C31" s="1" t="s">
        <v>1434</v>
      </c>
      <c r="D31" s="28"/>
      <c r="E31" s="28">
        <v>1.3341550925925925</v>
      </c>
      <c r="G31" s="125">
        <f t="shared" si="0"/>
        <v>32</v>
      </c>
      <c r="H31" s="125">
        <f t="shared" si="1"/>
        <v>1</v>
      </c>
      <c r="I31" s="125">
        <f t="shared" si="2"/>
        <v>1079</v>
      </c>
      <c r="J31" s="78">
        <f t="shared" si="3"/>
        <v>909.1574074074074</v>
      </c>
    </row>
    <row r="32" spans="1:10" ht="12.75">
      <c r="A32" s="19">
        <v>18</v>
      </c>
      <c r="B32" s="115" t="str">
        <f>'1-2 попер.раунди_10км'!G21</f>
        <v>Олкан Демегрел (1987)</v>
      </c>
      <c r="C32" s="19" t="s">
        <v>1015</v>
      </c>
      <c r="D32" s="1"/>
      <c r="E32" s="28">
        <v>1.3369097222222222</v>
      </c>
      <c r="G32" s="125">
        <f t="shared" si="0"/>
        <v>32</v>
      </c>
      <c r="H32" s="125">
        <f t="shared" si="1"/>
        <v>5</v>
      </c>
      <c r="I32" s="125">
        <f t="shared" si="2"/>
        <v>1075</v>
      </c>
      <c r="J32" s="78">
        <f t="shared" si="3"/>
        <v>895.8333333333334</v>
      </c>
    </row>
    <row r="33" spans="1:10" ht="12.75">
      <c r="A33" s="19">
        <v>19</v>
      </c>
      <c r="B33" s="1" t="s">
        <v>1300</v>
      </c>
      <c r="C33" s="2" t="s">
        <v>1440</v>
      </c>
      <c r="D33" s="1"/>
      <c r="E33" s="28">
        <v>1.3374305555555557</v>
      </c>
      <c r="G33" s="125">
        <f t="shared" si="0"/>
        <v>32</v>
      </c>
      <c r="H33" s="125">
        <f t="shared" si="1"/>
        <v>5</v>
      </c>
      <c r="I33" s="125">
        <f t="shared" si="2"/>
        <v>1075</v>
      </c>
      <c r="J33" s="78">
        <f t="shared" si="3"/>
        <v>885.8796296296297</v>
      </c>
    </row>
    <row r="34" spans="1:10" ht="12.75">
      <c r="A34" s="19">
        <v>20</v>
      </c>
      <c r="B34" s="73" t="str">
        <f>'1-2 попер.раунди_10км'!G19</f>
        <v>Яцек Кузьмановський (1987)</v>
      </c>
      <c r="C34" s="2" t="s">
        <v>589</v>
      </c>
      <c r="D34" s="2"/>
      <c r="E34" s="5">
        <v>1.337511574074074</v>
      </c>
      <c r="G34" s="125">
        <f t="shared" si="0"/>
        <v>32</v>
      </c>
      <c r="H34" s="125">
        <f t="shared" si="1"/>
        <v>6</v>
      </c>
      <c r="I34" s="125">
        <f t="shared" si="2"/>
        <v>1074</v>
      </c>
      <c r="J34" s="78">
        <f t="shared" si="3"/>
        <v>875.1111111111112</v>
      </c>
    </row>
    <row r="35" spans="1:10" ht="12.75">
      <c r="A35" s="19">
        <v>21</v>
      </c>
      <c r="B35" s="116" t="str">
        <f>'1-2 попер.раунди_10км'!H12</f>
        <v>Деніс Скадовський (1985)</v>
      </c>
      <c r="C35" s="19" t="s">
        <v>593</v>
      </c>
      <c r="D35" s="19" t="s">
        <v>991</v>
      </c>
      <c r="E35" s="28">
        <v>1.3383217592592593</v>
      </c>
      <c r="G35" s="125">
        <f t="shared" si="0"/>
        <v>32</v>
      </c>
      <c r="H35" s="125">
        <f t="shared" si="1"/>
        <v>7</v>
      </c>
      <c r="I35" s="125">
        <f t="shared" si="2"/>
        <v>1073</v>
      </c>
      <c r="J35" s="78">
        <f t="shared" si="3"/>
        <v>864.3611111111111</v>
      </c>
    </row>
    <row r="36" spans="1:10" ht="12.75">
      <c r="A36" s="19">
        <v>22</v>
      </c>
      <c r="B36" s="1" t="s">
        <v>1292</v>
      </c>
      <c r="C36" s="1" t="s">
        <v>1426</v>
      </c>
      <c r="D36" s="1"/>
      <c r="E36" s="28">
        <v>1.3390162037037037</v>
      </c>
      <c r="G36" s="125">
        <f t="shared" si="0"/>
        <v>32</v>
      </c>
      <c r="H36" s="125">
        <f t="shared" si="1"/>
        <v>8</v>
      </c>
      <c r="I36" s="125">
        <f t="shared" si="2"/>
        <v>1072</v>
      </c>
      <c r="J36" s="78">
        <f t="shared" si="3"/>
        <v>853.6296296296296</v>
      </c>
    </row>
    <row r="37" spans="1:10" ht="12.75">
      <c r="A37" s="19">
        <v>23</v>
      </c>
      <c r="B37" s="1" t="s">
        <v>1359</v>
      </c>
      <c r="C37" s="2" t="s">
        <v>725</v>
      </c>
      <c r="D37" s="1"/>
      <c r="E37" s="28">
        <v>1.3403819444444445</v>
      </c>
      <c r="G37" s="125">
        <f t="shared" si="0"/>
        <v>32</v>
      </c>
      <c r="H37" s="125">
        <f t="shared" si="1"/>
        <v>10</v>
      </c>
      <c r="I37" s="125">
        <f t="shared" si="2"/>
        <v>1070</v>
      </c>
      <c r="J37" s="78">
        <f t="shared" si="3"/>
        <v>842.1296296296296</v>
      </c>
    </row>
    <row r="38" spans="1:10" ht="12.75">
      <c r="A38" s="19">
        <v>24</v>
      </c>
      <c r="B38" s="115" t="str">
        <f>'1-2 попер.раунди_10км'!G18</f>
        <v>Олесіо де Маркацоне (1985)</v>
      </c>
      <c r="C38" s="19" t="s">
        <v>1447</v>
      </c>
      <c r="D38" s="2"/>
      <c r="E38" s="28">
        <v>1.3438773148148149</v>
      </c>
      <c r="G38" s="125">
        <f t="shared" si="0"/>
        <v>32</v>
      </c>
      <c r="H38" s="125">
        <f t="shared" si="1"/>
        <v>15</v>
      </c>
      <c r="I38" s="125">
        <f t="shared" si="2"/>
        <v>1065</v>
      </c>
      <c r="J38" s="78">
        <f t="shared" si="3"/>
        <v>828.3333333333334</v>
      </c>
    </row>
    <row r="39" spans="1:10" ht="12.75">
      <c r="A39" s="19">
        <v>25</v>
      </c>
      <c r="B39" s="19" t="s">
        <v>1495</v>
      </c>
      <c r="C39" s="19" t="s">
        <v>1433</v>
      </c>
      <c r="D39" s="19"/>
      <c r="E39" s="28">
        <v>1.3452662037037035</v>
      </c>
      <c r="G39" s="125">
        <f t="shared" si="0"/>
        <v>32</v>
      </c>
      <c r="H39" s="125">
        <f t="shared" si="1"/>
        <v>17</v>
      </c>
      <c r="I39" s="125">
        <f t="shared" si="2"/>
        <v>1063</v>
      </c>
      <c r="J39" s="78">
        <f t="shared" si="3"/>
        <v>816.9351851851851</v>
      </c>
    </row>
    <row r="40" spans="1:10" ht="12.75">
      <c r="A40" s="19">
        <v>26</v>
      </c>
      <c r="B40" s="115" t="str">
        <f>'1-2 попер.раунди_10км'!I12</f>
        <v>Володимир Зінькович (1986)</v>
      </c>
      <c r="C40" s="19" t="s">
        <v>593</v>
      </c>
      <c r="D40" s="21" t="s">
        <v>963</v>
      </c>
      <c r="E40" s="28">
        <v>1.3501273148148147</v>
      </c>
      <c r="G40" s="125">
        <f t="shared" si="0"/>
        <v>32</v>
      </c>
      <c r="H40" s="125">
        <f t="shared" si="1"/>
        <v>24</v>
      </c>
      <c r="I40" s="125">
        <f t="shared" si="2"/>
        <v>1056</v>
      </c>
      <c r="J40" s="78">
        <f t="shared" si="3"/>
        <v>801.7777777777778</v>
      </c>
    </row>
    <row r="41" spans="1:10" ht="12.75">
      <c r="A41" s="19">
        <v>27</v>
      </c>
      <c r="B41" s="1" t="s">
        <v>1365</v>
      </c>
      <c r="C41" s="1" t="s">
        <v>1022</v>
      </c>
      <c r="D41" s="1"/>
      <c r="E41" s="28">
        <v>1.3639930555555555</v>
      </c>
      <c r="G41" s="125">
        <f t="shared" si="0"/>
        <v>32</v>
      </c>
      <c r="H41" s="125">
        <f t="shared" si="1"/>
        <v>44</v>
      </c>
      <c r="I41" s="125">
        <f t="shared" si="2"/>
        <v>1036</v>
      </c>
      <c r="J41" s="78">
        <f t="shared" si="3"/>
        <v>777</v>
      </c>
    </row>
    <row r="42" spans="1:10" ht="12.75">
      <c r="A42" s="19">
        <v>28</v>
      </c>
      <c r="B42" s="1" t="s">
        <v>1368</v>
      </c>
      <c r="C42" s="1" t="s">
        <v>1455</v>
      </c>
      <c r="D42" s="1"/>
      <c r="E42" s="28">
        <v>1.3644444444444446</v>
      </c>
      <c r="G42" s="125">
        <f t="shared" si="0"/>
        <v>32</v>
      </c>
      <c r="H42" s="125">
        <f t="shared" si="1"/>
        <v>44</v>
      </c>
      <c r="I42" s="125">
        <f t="shared" si="2"/>
        <v>1036</v>
      </c>
      <c r="J42" s="78">
        <f t="shared" si="3"/>
        <v>767.4074074074074</v>
      </c>
    </row>
    <row r="43" spans="1:10" ht="12.75">
      <c r="A43" s="19">
        <v>29</v>
      </c>
      <c r="B43" s="1" t="s">
        <v>1363</v>
      </c>
      <c r="C43" s="1" t="s">
        <v>781</v>
      </c>
      <c r="D43" s="1"/>
      <c r="E43" s="28">
        <v>1.371747685185185</v>
      </c>
      <c r="G43" s="125">
        <f t="shared" si="0"/>
        <v>32</v>
      </c>
      <c r="H43" s="125">
        <f t="shared" si="1"/>
        <v>55</v>
      </c>
      <c r="I43" s="125">
        <f t="shared" si="2"/>
        <v>1025</v>
      </c>
      <c r="J43" s="78">
        <f t="shared" si="3"/>
        <v>749.7685185185185</v>
      </c>
    </row>
    <row r="44" spans="1:10" ht="12.75">
      <c r="A44" s="19">
        <v>30</v>
      </c>
      <c r="B44" s="21" t="s">
        <v>1335</v>
      </c>
      <c r="C44" s="1" t="s">
        <v>1018</v>
      </c>
      <c r="D44" s="28"/>
      <c r="E44" s="28">
        <v>1.3724421296296294</v>
      </c>
      <c r="G44" s="125">
        <f t="shared" si="0"/>
        <v>32</v>
      </c>
      <c r="H44" s="125">
        <f t="shared" si="1"/>
        <v>56</v>
      </c>
      <c r="I44" s="125">
        <f t="shared" si="2"/>
        <v>1024</v>
      </c>
      <c r="J44" s="78">
        <f t="shared" si="3"/>
        <v>739.5555555555555</v>
      </c>
    </row>
    <row r="45" spans="1:10" ht="12.75">
      <c r="A45" s="19">
        <v>31</v>
      </c>
      <c r="B45" s="1" t="str">
        <f>'1-2 попер.раунди_10км'!C23</f>
        <v>Ян Коварт (1983)</v>
      </c>
      <c r="C45" s="1" t="s">
        <v>1471</v>
      </c>
      <c r="D45" s="1"/>
      <c r="E45" s="5">
        <v>1.3758217592592592</v>
      </c>
      <c r="G45" s="125">
        <f t="shared" si="0"/>
        <v>33</v>
      </c>
      <c r="H45" s="125">
        <f t="shared" si="1"/>
        <v>1</v>
      </c>
      <c r="I45" s="125">
        <f t="shared" si="2"/>
        <v>1019</v>
      </c>
      <c r="J45" s="78">
        <f t="shared" si="3"/>
        <v>726.5092592592594</v>
      </c>
    </row>
    <row r="46" spans="1:10" ht="12.75">
      <c r="A46" s="19">
        <v>32</v>
      </c>
      <c r="B46" s="1" t="s">
        <v>1339</v>
      </c>
      <c r="C46" s="1" t="s">
        <v>595</v>
      </c>
      <c r="D46" s="1"/>
      <c r="E46" s="28">
        <v>1.3758217592592592</v>
      </c>
      <c r="G46" s="125">
        <f t="shared" si="0"/>
        <v>33</v>
      </c>
      <c r="H46" s="125">
        <f t="shared" si="1"/>
        <v>1</v>
      </c>
      <c r="I46" s="125">
        <f t="shared" si="2"/>
        <v>1019</v>
      </c>
      <c r="J46" s="78">
        <f t="shared" si="3"/>
        <v>717.0740740740741</v>
      </c>
    </row>
    <row r="47" spans="1:10" ht="12.75">
      <c r="A47" s="19">
        <v>33</v>
      </c>
      <c r="B47" s="1" t="s">
        <v>1350</v>
      </c>
      <c r="C47" s="1" t="s">
        <v>598</v>
      </c>
      <c r="D47" s="1"/>
      <c r="E47" s="28">
        <v>1.3758217592592592</v>
      </c>
      <c r="G47" s="125">
        <f t="shared" si="0"/>
        <v>33</v>
      </c>
      <c r="H47" s="125">
        <f t="shared" si="1"/>
        <v>1</v>
      </c>
      <c r="I47" s="125">
        <f t="shared" si="2"/>
        <v>1019</v>
      </c>
      <c r="J47" s="78">
        <f t="shared" si="3"/>
        <v>707.6388888888889</v>
      </c>
    </row>
    <row r="48" spans="1:10" ht="12.75">
      <c r="A48" s="19">
        <v>34</v>
      </c>
      <c r="B48" s="73" t="str">
        <f>'1-2 попер.раунди_10км'!G20</f>
        <v>Радослав Гуляшек (1985)</v>
      </c>
      <c r="C48" s="19" t="s">
        <v>1469</v>
      </c>
      <c r="D48" s="19"/>
      <c r="E48" s="5">
        <v>1.3758333333333335</v>
      </c>
      <c r="G48" s="125">
        <f t="shared" si="0"/>
        <v>33</v>
      </c>
      <c r="H48" s="125">
        <f t="shared" si="1"/>
        <v>1</v>
      </c>
      <c r="I48" s="125">
        <f t="shared" si="2"/>
        <v>1019</v>
      </c>
      <c r="J48" s="78">
        <f t="shared" si="3"/>
        <v>698.2037037037036</v>
      </c>
    </row>
    <row r="49" spans="1:10" ht="12.75">
      <c r="A49" s="19">
        <v>35</v>
      </c>
      <c r="B49" s="1" t="s">
        <v>1301</v>
      </c>
      <c r="C49" s="1" t="s">
        <v>1440</v>
      </c>
      <c r="D49" s="1"/>
      <c r="E49" s="28">
        <v>1.3781597222222224</v>
      </c>
      <c r="G49" s="125">
        <f t="shared" si="0"/>
        <v>33</v>
      </c>
      <c r="H49" s="125">
        <f t="shared" si="1"/>
        <v>4</v>
      </c>
      <c r="I49" s="125">
        <f t="shared" si="2"/>
        <v>1016</v>
      </c>
      <c r="J49" s="78">
        <f t="shared" si="3"/>
        <v>686.7407407407408</v>
      </c>
    </row>
    <row r="50" spans="1:10" ht="12.75">
      <c r="A50" s="19">
        <v>36</v>
      </c>
      <c r="B50" s="2" t="s">
        <v>1344</v>
      </c>
      <c r="C50" s="2" t="s">
        <v>588</v>
      </c>
      <c r="D50" s="2"/>
      <c r="E50" s="28">
        <v>1.382650462962963</v>
      </c>
      <c r="G50" s="125">
        <f t="shared" si="0"/>
        <v>33</v>
      </c>
      <c r="H50" s="125">
        <f t="shared" si="1"/>
        <v>11</v>
      </c>
      <c r="I50" s="125">
        <f t="shared" si="2"/>
        <v>1009</v>
      </c>
      <c r="J50" s="78">
        <f t="shared" si="3"/>
        <v>672.6666666666667</v>
      </c>
    </row>
    <row r="51" spans="1:10" ht="12.75">
      <c r="A51" s="19">
        <v>37</v>
      </c>
      <c r="B51" s="1" t="s">
        <v>1348</v>
      </c>
      <c r="C51" s="1" t="s">
        <v>600</v>
      </c>
      <c r="D51" s="1"/>
      <c r="E51" s="28">
        <v>1.383136574074074</v>
      </c>
      <c r="G51" s="125">
        <f t="shared" si="0"/>
        <v>33</v>
      </c>
      <c r="H51" s="125">
        <f t="shared" si="1"/>
        <v>11</v>
      </c>
      <c r="I51" s="125">
        <f t="shared" si="2"/>
        <v>1009</v>
      </c>
      <c r="J51" s="78">
        <f t="shared" si="3"/>
        <v>663.3240740740741</v>
      </c>
    </row>
    <row r="52" spans="1:10" ht="12.75">
      <c r="A52" s="19">
        <v>38</v>
      </c>
      <c r="B52" s="1" t="s">
        <v>1496</v>
      </c>
      <c r="C52" s="1" t="s">
        <v>1433</v>
      </c>
      <c r="D52" s="1"/>
      <c r="E52" s="5">
        <v>1.3855555555555554</v>
      </c>
      <c r="G52" s="125">
        <f t="shared" si="0"/>
        <v>33</v>
      </c>
      <c r="H52" s="125">
        <f t="shared" si="1"/>
        <v>15</v>
      </c>
      <c r="I52" s="125">
        <f t="shared" si="2"/>
        <v>1005</v>
      </c>
      <c r="J52" s="78">
        <f t="shared" si="3"/>
        <v>651.3888888888889</v>
      </c>
    </row>
    <row r="53" spans="1:10" ht="12.75">
      <c r="A53" s="19">
        <v>39</v>
      </c>
      <c r="B53" s="73" t="str">
        <f>'1-2 попер.раунди_10км'!H17</f>
        <v>Славолюб Зойковiч (1988)</v>
      </c>
      <c r="C53" s="1" t="s">
        <v>1443</v>
      </c>
      <c r="D53" s="1"/>
      <c r="E53" s="5">
        <v>1.3868865740740741</v>
      </c>
      <c r="G53" s="125">
        <f t="shared" si="0"/>
        <v>33</v>
      </c>
      <c r="H53" s="125">
        <f t="shared" si="1"/>
        <v>17</v>
      </c>
      <c r="I53" s="125">
        <f t="shared" si="2"/>
        <v>1003</v>
      </c>
      <c r="J53" s="78">
        <f t="shared" si="3"/>
        <v>640.8055555555555</v>
      </c>
    </row>
    <row r="54" spans="1:10" ht="12.75">
      <c r="A54" s="19">
        <v>40</v>
      </c>
      <c r="B54" s="115" t="str">
        <f>'1-2 попер.раунди_10км'!J12</f>
        <v>Савелій Шовкопляс (1986)</v>
      </c>
      <c r="C54" s="19" t="s">
        <v>593</v>
      </c>
      <c r="D54" s="19" t="s">
        <v>995</v>
      </c>
      <c r="E54" s="28">
        <v>1.3898032407407408</v>
      </c>
      <c r="G54" s="125">
        <f t="shared" si="0"/>
        <v>33</v>
      </c>
      <c r="H54" s="125">
        <f t="shared" si="1"/>
        <v>21</v>
      </c>
      <c r="I54" s="125">
        <f t="shared" si="2"/>
        <v>999</v>
      </c>
      <c r="J54" s="78">
        <f t="shared" si="3"/>
        <v>629</v>
      </c>
    </row>
    <row r="55" spans="1:10" ht="12.75">
      <c r="A55" s="19">
        <v>41</v>
      </c>
      <c r="B55" s="2" t="s">
        <v>1347</v>
      </c>
      <c r="C55" s="2" t="s">
        <v>600</v>
      </c>
      <c r="D55" s="2"/>
      <c r="E55" s="28">
        <v>1.3904166666666666</v>
      </c>
      <c r="G55" s="125">
        <f t="shared" si="0"/>
        <v>33</v>
      </c>
      <c r="H55" s="125">
        <f t="shared" si="1"/>
        <v>22</v>
      </c>
      <c r="I55" s="125">
        <f t="shared" si="2"/>
        <v>998</v>
      </c>
      <c r="J55" s="78">
        <f t="shared" si="3"/>
        <v>619.1296296296296</v>
      </c>
    </row>
    <row r="56" spans="1:10" ht="12.75">
      <c r="A56" s="19">
        <v>42</v>
      </c>
      <c r="B56" s="116" t="str">
        <f>'1-2 попер.раунди_10км'!H20</f>
        <v>Мирослав Єшаєк (1985)</v>
      </c>
      <c r="C56" s="21" t="s">
        <v>1469</v>
      </c>
      <c r="D56" s="2"/>
      <c r="E56" s="28">
        <v>1.3904976851851851</v>
      </c>
      <c r="G56" s="125">
        <f t="shared" si="0"/>
        <v>33</v>
      </c>
      <c r="H56" s="125">
        <f t="shared" si="1"/>
        <v>22</v>
      </c>
      <c r="I56" s="125">
        <f t="shared" si="2"/>
        <v>998</v>
      </c>
      <c r="J56" s="78">
        <f t="shared" si="3"/>
        <v>609.8888888888889</v>
      </c>
    </row>
    <row r="57" spans="1:10" ht="12.75">
      <c r="A57" s="19">
        <v>43</v>
      </c>
      <c r="B57" s="1" t="s">
        <v>1330</v>
      </c>
      <c r="C57" s="2" t="s">
        <v>627</v>
      </c>
      <c r="D57" s="2"/>
      <c r="E57" s="28">
        <v>1.4168634259259258</v>
      </c>
      <c r="G57" s="125">
        <f t="shared" si="0"/>
        <v>34</v>
      </c>
      <c r="H57" s="125">
        <f t="shared" si="1"/>
        <v>0</v>
      </c>
      <c r="I57" s="125">
        <f t="shared" si="2"/>
        <v>960</v>
      </c>
      <c r="J57" s="78">
        <f t="shared" si="3"/>
        <v>577.7777777777778</v>
      </c>
    </row>
    <row r="58" spans="1:10" ht="12.75">
      <c r="A58" s="19">
        <v>44</v>
      </c>
      <c r="B58" s="2" t="s">
        <v>1497</v>
      </c>
      <c r="C58" s="2" t="s">
        <v>1433</v>
      </c>
      <c r="D58" s="2"/>
      <c r="E58" s="5">
        <v>1.4238194444444445</v>
      </c>
      <c r="G58" s="125">
        <f t="shared" si="0"/>
        <v>34</v>
      </c>
      <c r="H58" s="125">
        <f t="shared" si="1"/>
        <v>10</v>
      </c>
      <c r="I58" s="125">
        <f t="shared" si="2"/>
        <v>950</v>
      </c>
      <c r="J58" s="78">
        <f t="shared" si="3"/>
        <v>562.9629629629629</v>
      </c>
    </row>
    <row r="59" spans="1:10" ht="12.75">
      <c r="A59" s="19">
        <v>45</v>
      </c>
      <c r="B59" s="73" t="str">
        <f>'1-2 попер.раунди_10км'!G22</f>
        <v>Боббі Скарлоу (1986)</v>
      </c>
      <c r="C59" s="1" t="s">
        <v>1470</v>
      </c>
      <c r="D59" s="1"/>
      <c r="E59" s="5">
        <v>1.4251041666666666</v>
      </c>
      <c r="G59" s="125">
        <f t="shared" si="0"/>
        <v>34</v>
      </c>
      <c r="H59" s="125">
        <f t="shared" si="1"/>
        <v>12</v>
      </c>
      <c r="I59" s="125">
        <f t="shared" si="2"/>
        <v>948</v>
      </c>
      <c r="J59" s="78">
        <f t="shared" si="3"/>
        <v>552.9999999999999</v>
      </c>
    </row>
    <row r="60" spans="1:10" ht="12.75">
      <c r="A60" s="19">
        <v>46</v>
      </c>
      <c r="B60" s="1" t="s">
        <v>1337</v>
      </c>
      <c r="C60" s="1" t="s">
        <v>843</v>
      </c>
      <c r="D60" s="28"/>
      <c r="E60" s="28">
        <v>1.425162037037037</v>
      </c>
      <c r="G60" s="125">
        <f t="shared" si="0"/>
        <v>34</v>
      </c>
      <c r="H60" s="125">
        <f t="shared" si="1"/>
        <v>12</v>
      </c>
      <c r="I60" s="125">
        <f t="shared" si="2"/>
        <v>948</v>
      </c>
      <c r="J60" s="78">
        <f t="shared" si="3"/>
        <v>544.2222222222222</v>
      </c>
    </row>
    <row r="61" spans="1:10" ht="12.75">
      <c r="A61" s="19">
        <v>47</v>
      </c>
      <c r="B61" s="73" t="str">
        <f>'1-2 попер.раунди_10км'!H19</f>
        <v>Радослав Полшевський (1987)</v>
      </c>
      <c r="C61" s="1" t="s">
        <v>589</v>
      </c>
      <c r="D61" s="1"/>
      <c r="E61" s="5">
        <v>1.4279050925925925</v>
      </c>
      <c r="G61" s="125">
        <f t="shared" si="0"/>
        <v>34</v>
      </c>
      <c r="H61" s="125">
        <f t="shared" si="1"/>
        <v>16</v>
      </c>
      <c r="I61" s="125">
        <f t="shared" si="2"/>
        <v>944</v>
      </c>
      <c r="J61" s="78">
        <f t="shared" si="3"/>
        <v>533.1851851851852</v>
      </c>
    </row>
    <row r="62" spans="1:10" ht="12.75">
      <c r="A62" s="19">
        <v>48</v>
      </c>
      <c r="B62" s="1" t="s">
        <v>1508</v>
      </c>
      <c r="C62" s="97" t="s">
        <v>1461</v>
      </c>
      <c r="D62" s="2"/>
      <c r="E62" s="28">
        <v>1.428599537037037</v>
      </c>
      <c r="G62" s="125">
        <f t="shared" si="0"/>
        <v>34</v>
      </c>
      <c r="H62" s="125">
        <f t="shared" si="1"/>
        <v>17</v>
      </c>
      <c r="I62" s="125">
        <f t="shared" si="2"/>
        <v>943</v>
      </c>
      <c r="J62" s="78">
        <f t="shared" si="3"/>
        <v>523.8888888888889</v>
      </c>
    </row>
    <row r="63" spans="1:10" ht="12.75">
      <c r="A63" s="19">
        <v>49</v>
      </c>
      <c r="B63" s="1" t="s">
        <v>1356</v>
      </c>
      <c r="C63" s="1" t="s">
        <v>1020</v>
      </c>
      <c r="D63" s="1"/>
      <c r="E63" s="28">
        <v>1.4305555555555556</v>
      </c>
      <c r="G63" s="125">
        <f t="shared" si="0"/>
        <v>34</v>
      </c>
      <c r="H63" s="125">
        <f t="shared" si="1"/>
        <v>20</v>
      </c>
      <c r="I63" s="125">
        <f t="shared" si="2"/>
        <v>940</v>
      </c>
      <c r="J63" s="78">
        <f t="shared" si="3"/>
        <v>513.5185185185185</v>
      </c>
    </row>
    <row r="64" spans="1:10" ht="12.75">
      <c r="A64" s="19">
        <v>50</v>
      </c>
      <c r="B64" s="117" t="str">
        <f>'1-2 попер.раунди_10км'!H21</f>
        <v>Хакан Рамасан (1982)</v>
      </c>
      <c r="C64" s="19" t="s">
        <v>1015</v>
      </c>
      <c r="D64" s="19"/>
      <c r="E64" s="28">
        <v>1.454965277777778</v>
      </c>
      <c r="G64" s="125">
        <f t="shared" si="0"/>
        <v>34</v>
      </c>
      <c r="H64" s="125">
        <f t="shared" si="1"/>
        <v>55</v>
      </c>
      <c r="I64" s="125">
        <f t="shared" si="2"/>
        <v>905</v>
      </c>
      <c r="J64" s="78">
        <f t="shared" si="3"/>
        <v>486.0185185185185</v>
      </c>
    </row>
    <row r="65" spans="1:10" ht="12.75">
      <c r="A65" s="19">
        <v>51</v>
      </c>
      <c r="B65" s="73" t="str">
        <f>'1-2 попер.раунди_10км'!H18</f>
        <v>Луіджі Фуччі (1985)</v>
      </c>
      <c r="C65" s="1" t="s">
        <v>1447</v>
      </c>
      <c r="D65" s="1"/>
      <c r="E65" s="28">
        <v>1.455</v>
      </c>
      <c r="G65" s="125">
        <f t="shared" si="0"/>
        <v>34</v>
      </c>
      <c r="H65" s="125">
        <f t="shared" si="1"/>
        <v>55</v>
      </c>
      <c r="I65" s="125">
        <f t="shared" si="2"/>
        <v>905</v>
      </c>
      <c r="J65" s="78">
        <f t="shared" si="3"/>
        <v>477.6388888888889</v>
      </c>
    </row>
    <row r="66" spans="1:10" ht="12.75">
      <c r="A66" s="19">
        <v>52</v>
      </c>
      <c r="B66" s="1" t="s">
        <v>1341</v>
      </c>
      <c r="C66" s="1" t="s">
        <v>596</v>
      </c>
      <c r="D66" s="2"/>
      <c r="E66" s="28">
        <v>1.455</v>
      </c>
      <c r="F66" s="72"/>
      <c r="G66" s="125">
        <f t="shared" si="0"/>
        <v>34</v>
      </c>
      <c r="H66" s="125">
        <f t="shared" si="1"/>
        <v>55</v>
      </c>
      <c r="I66" s="125">
        <f t="shared" si="2"/>
        <v>905</v>
      </c>
      <c r="J66" s="78">
        <f t="shared" si="3"/>
        <v>469.25925925925935</v>
      </c>
    </row>
    <row r="67" spans="1:10" ht="12.75">
      <c r="A67" s="19">
        <v>53</v>
      </c>
      <c r="B67" s="1" t="s">
        <v>1353</v>
      </c>
      <c r="C67" s="1" t="s">
        <v>1017</v>
      </c>
      <c r="D67" s="1"/>
      <c r="E67" s="28">
        <v>1.4550810185185183</v>
      </c>
      <c r="F67" s="72"/>
      <c r="G67" s="125">
        <f t="shared" si="0"/>
        <v>34</v>
      </c>
      <c r="H67" s="125">
        <f t="shared" si="1"/>
        <v>55</v>
      </c>
      <c r="I67" s="125">
        <f t="shared" si="2"/>
        <v>905</v>
      </c>
      <c r="J67" s="78">
        <f t="shared" si="3"/>
        <v>460.8796296296297</v>
      </c>
    </row>
    <row r="68" spans="1:10" ht="12.75">
      <c r="A68" s="19">
        <v>54</v>
      </c>
      <c r="B68" s="115" t="str">
        <f>'1-2 попер.раунди_10км'!H15</f>
        <v>Антоніто Хресія (1981)</v>
      </c>
      <c r="C68" s="19" t="s">
        <v>1440</v>
      </c>
      <c r="D68" s="19"/>
      <c r="E68" s="28">
        <v>1.4738310185185186</v>
      </c>
      <c r="F68" s="72"/>
      <c r="G68" s="125">
        <f t="shared" si="0"/>
        <v>35</v>
      </c>
      <c r="H68" s="125">
        <f t="shared" si="1"/>
        <v>22</v>
      </c>
      <c r="I68" s="125">
        <f t="shared" si="2"/>
        <v>878</v>
      </c>
      <c r="J68" s="78">
        <f t="shared" si="3"/>
        <v>439</v>
      </c>
    </row>
    <row r="69" spans="6:7" ht="12.75">
      <c r="F69" s="72"/>
      <c r="G69" s="72"/>
    </row>
    <row r="70" spans="6:7" ht="12.75">
      <c r="F70" s="72"/>
      <c r="G70" s="72"/>
    </row>
    <row r="71" spans="1:7" ht="12.75">
      <c r="A71" s="123" t="s">
        <v>1509</v>
      </c>
      <c r="B71" s="123"/>
      <c r="C71" s="123"/>
      <c r="F71" s="72"/>
      <c r="G71" s="72"/>
    </row>
    <row r="72" spans="1:5" ht="12.75">
      <c r="A72" s="1" t="s">
        <v>940</v>
      </c>
      <c r="B72" s="1" t="s">
        <v>958</v>
      </c>
      <c r="C72" s="1" t="s">
        <v>577</v>
      </c>
      <c r="D72" s="1" t="s">
        <v>578</v>
      </c>
      <c r="E72" s="38" t="s">
        <v>28</v>
      </c>
    </row>
    <row r="73" spans="1:10" ht="12.75">
      <c r="A73" s="19">
        <v>1</v>
      </c>
      <c r="B73" s="19" t="s">
        <v>1001</v>
      </c>
      <c r="C73" s="19" t="s">
        <v>593</v>
      </c>
      <c r="D73" s="21" t="s">
        <v>999</v>
      </c>
      <c r="E73" s="28">
        <v>1.2071412037037037</v>
      </c>
      <c r="G73" s="125">
        <f>HOUR(E73)+24</f>
        <v>28</v>
      </c>
      <c r="H73" s="125">
        <f>MINUTE(E73)</f>
        <v>58</v>
      </c>
      <c r="I73" s="125">
        <f>3600-G73*60-H73</f>
        <v>1862</v>
      </c>
      <c r="J73" s="78">
        <f>I73*(1-A73/16)+300</f>
        <v>2045.625</v>
      </c>
    </row>
    <row r="74" spans="1:10" ht="12.75">
      <c r="A74" s="1">
        <v>2</v>
      </c>
      <c r="B74" s="21" t="s">
        <v>1493</v>
      </c>
      <c r="C74" s="19" t="s">
        <v>1433</v>
      </c>
      <c r="D74" s="19" t="s">
        <v>1505</v>
      </c>
      <c r="E74" s="28">
        <v>1.2126273148148148</v>
      </c>
      <c r="G74" s="125">
        <f aca="true" t="shared" si="4" ref="G74:G80">HOUR(E74)+24</f>
        <v>29</v>
      </c>
      <c r="H74" s="125">
        <f aca="true" t="shared" si="5" ref="H74:H80">MINUTE(E74)</f>
        <v>6</v>
      </c>
      <c r="I74" s="125">
        <f aca="true" t="shared" si="6" ref="I74:I80">3600-G74*60-H74</f>
        <v>1854</v>
      </c>
      <c r="J74" s="78">
        <f aca="true" t="shared" si="7" ref="J74:J80">I74*(1-A74/16)+300</f>
        <v>1922.25</v>
      </c>
    </row>
    <row r="75" spans="1:10" ht="12.75">
      <c r="A75" s="19">
        <v>3</v>
      </c>
      <c r="B75" s="21" t="s">
        <v>1289</v>
      </c>
      <c r="C75" s="19" t="s">
        <v>1426</v>
      </c>
      <c r="D75" s="21" t="s">
        <v>1504</v>
      </c>
      <c r="E75" s="28">
        <v>1.2202662037037038</v>
      </c>
      <c r="G75" s="125">
        <f t="shared" si="4"/>
        <v>29</v>
      </c>
      <c r="H75" s="125">
        <f t="shared" si="5"/>
        <v>17</v>
      </c>
      <c r="I75" s="125">
        <f t="shared" si="6"/>
        <v>1843</v>
      </c>
      <c r="J75" s="78">
        <f t="shared" si="7"/>
        <v>1797.4375</v>
      </c>
    </row>
    <row r="76" spans="1:10" ht="12.75">
      <c r="A76" s="1">
        <v>4</v>
      </c>
      <c r="B76" s="19" t="s">
        <v>989</v>
      </c>
      <c r="C76" s="19" t="s">
        <v>593</v>
      </c>
      <c r="D76" s="19" t="s">
        <v>963</v>
      </c>
      <c r="E76" s="28">
        <v>1.229872685185185</v>
      </c>
      <c r="G76" s="125">
        <f t="shared" si="4"/>
        <v>29</v>
      </c>
      <c r="H76" s="125">
        <f t="shared" si="5"/>
        <v>31</v>
      </c>
      <c r="I76" s="125">
        <f t="shared" si="6"/>
        <v>1829</v>
      </c>
      <c r="J76" s="78">
        <f t="shared" si="7"/>
        <v>1671.75</v>
      </c>
    </row>
    <row r="77" spans="1:10" ht="12.75">
      <c r="A77" s="19">
        <v>5</v>
      </c>
      <c r="B77" s="21" t="s">
        <v>1306</v>
      </c>
      <c r="C77" s="19" t="s">
        <v>1443</v>
      </c>
      <c r="D77" s="19" t="s">
        <v>1507</v>
      </c>
      <c r="E77" s="28">
        <v>1.2306828703703705</v>
      </c>
      <c r="G77" s="125">
        <f t="shared" si="4"/>
        <v>29</v>
      </c>
      <c r="H77" s="125">
        <f t="shared" si="5"/>
        <v>32</v>
      </c>
      <c r="I77" s="125">
        <f t="shared" si="6"/>
        <v>1828</v>
      </c>
      <c r="J77" s="78">
        <f t="shared" si="7"/>
        <v>1556.75</v>
      </c>
    </row>
    <row r="78" spans="1:10" ht="12.75">
      <c r="A78" s="1">
        <v>6</v>
      </c>
      <c r="B78" s="19" t="s">
        <v>1305</v>
      </c>
      <c r="C78" s="21" t="s">
        <v>1468</v>
      </c>
      <c r="D78" s="19" t="s">
        <v>633</v>
      </c>
      <c r="E78" s="28">
        <v>1.239513888888889</v>
      </c>
      <c r="G78" s="125">
        <f t="shared" si="4"/>
        <v>29</v>
      </c>
      <c r="H78" s="125">
        <f t="shared" si="5"/>
        <v>44</v>
      </c>
      <c r="I78" s="125">
        <f t="shared" si="6"/>
        <v>1816</v>
      </c>
      <c r="J78" s="78">
        <f t="shared" si="7"/>
        <v>1435</v>
      </c>
    </row>
    <row r="79" spans="1:10" ht="12.75">
      <c r="A79" s="19">
        <v>7</v>
      </c>
      <c r="B79" s="19" t="s">
        <v>1494</v>
      </c>
      <c r="C79" s="21" t="s">
        <v>1433</v>
      </c>
      <c r="D79" s="21" t="s">
        <v>1506</v>
      </c>
      <c r="E79" s="28">
        <v>1.247349537037037</v>
      </c>
      <c r="G79" s="125">
        <f t="shared" si="4"/>
        <v>29</v>
      </c>
      <c r="H79" s="125">
        <f t="shared" si="5"/>
        <v>56</v>
      </c>
      <c r="I79" s="125">
        <f t="shared" si="6"/>
        <v>1804</v>
      </c>
      <c r="J79" s="78">
        <f t="shared" si="7"/>
        <v>1314.75</v>
      </c>
    </row>
    <row r="80" spans="1:10" ht="12.75">
      <c r="A80" s="1">
        <v>8</v>
      </c>
      <c r="B80" s="19" t="s">
        <v>1288</v>
      </c>
      <c r="C80" s="19" t="s">
        <v>1426</v>
      </c>
      <c r="D80" s="19" t="s">
        <v>757</v>
      </c>
      <c r="E80" s="28">
        <v>1.2507060185185186</v>
      </c>
      <c r="G80" s="125">
        <f t="shared" si="4"/>
        <v>30</v>
      </c>
      <c r="H80" s="125">
        <f t="shared" si="5"/>
        <v>1</v>
      </c>
      <c r="I80" s="125">
        <f t="shared" si="6"/>
        <v>1799</v>
      </c>
      <c r="J80" s="78">
        <f t="shared" si="7"/>
        <v>1199.5</v>
      </c>
    </row>
  </sheetData>
  <mergeCells count="6">
    <mergeCell ref="G1:K1"/>
    <mergeCell ref="A2:D2"/>
    <mergeCell ref="B11:D11"/>
    <mergeCell ref="A6:D6"/>
    <mergeCell ref="B9:D9"/>
    <mergeCell ref="B8:D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H1">
      <selection activeCell="R4" sqref="R4"/>
    </sheetView>
  </sheetViews>
  <sheetFormatPr defaultColWidth="9.00390625" defaultRowHeight="12.75" outlineLevelCol="1"/>
  <cols>
    <col min="1" max="1" width="0" style="0" hidden="1" customWidth="1" outlineLevel="1"/>
    <col min="2" max="2" width="14.375" style="0" hidden="1" customWidth="1" outlineLevel="1"/>
    <col min="3" max="7" width="0" style="0" hidden="1" customWidth="1" outlineLevel="1"/>
    <col min="8" max="8" width="9.125" style="0" customWidth="1" collapsed="1"/>
    <col min="10" max="10" width="14.375" style="0" bestFit="1" customWidth="1"/>
    <col min="11" max="11" width="13.25390625" style="0" customWidth="1"/>
    <col min="15" max="15" width="14.375" style="0" bestFit="1" customWidth="1"/>
    <col min="16" max="16" width="12.75390625" style="0" bestFit="1" customWidth="1"/>
  </cols>
  <sheetData>
    <row r="1" spans="2:16" ht="12.75">
      <c r="B1" t="s">
        <v>1082</v>
      </c>
      <c r="E1" t="s">
        <v>1083</v>
      </c>
      <c r="J1" t="s">
        <v>1082</v>
      </c>
      <c r="K1" t="s">
        <v>1491</v>
      </c>
      <c r="O1" t="s">
        <v>1082</v>
      </c>
      <c r="P1" t="s">
        <v>1492</v>
      </c>
    </row>
    <row r="2" spans="1:16" ht="26.25" customHeight="1">
      <c r="A2" s="4" t="s">
        <v>940</v>
      </c>
      <c r="B2" s="4" t="s">
        <v>577</v>
      </c>
      <c r="C2" s="4" t="s">
        <v>615</v>
      </c>
      <c r="E2" s="4" t="s">
        <v>940</v>
      </c>
      <c r="F2" s="4" t="s">
        <v>577</v>
      </c>
      <c r="G2" s="4" t="s">
        <v>615</v>
      </c>
      <c r="I2" s="4" t="s">
        <v>940</v>
      </c>
      <c r="J2" s="4" t="s">
        <v>577</v>
      </c>
      <c r="K2" s="4" t="s">
        <v>615</v>
      </c>
      <c r="N2" s="4" t="s">
        <v>940</v>
      </c>
      <c r="O2" s="4" t="s">
        <v>577</v>
      </c>
      <c r="P2" s="4" t="s">
        <v>615</v>
      </c>
    </row>
    <row r="3" spans="1:16" ht="12.75">
      <c r="A3" s="2">
        <v>1</v>
      </c>
      <c r="B3" s="21" t="s">
        <v>593</v>
      </c>
      <c r="C3" s="86">
        <f>160+2964+146+989+1757/7+10254/7</f>
        <v>5974.857142857143</v>
      </c>
      <c r="E3" s="2">
        <v>1</v>
      </c>
      <c r="F3" s="21" t="s">
        <v>706</v>
      </c>
      <c r="G3" s="1">
        <f>228+160+716+120+218+185+417</f>
        <v>2044</v>
      </c>
      <c r="I3" s="2">
        <v>1</v>
      </c>
      <c r="J3" s="21" t="s">
        <v>593</v>
      </c>
      <c r="K3" s="86">
        <f>160+2964+146+989+1757/7+10254/7+128</f>
        <v>6102.857142857143</v>
      </c>
      <c r="N3" s="2">
        <v>1</v>
      </c>
      <c r="O3" s="2" t="s">
        <v>593</v>
      </c>
      <c r="P3" s="86">
        <f>328+4562.68765133172+3717/7</f>
        <v>5421.68765133172</v>
      </c>
    </row>
    <row r="4" spans="1:16" ht="12.75">
      <c r="A4" s="2">
        <v>2</v>
      </c>
      <c r="B4" s="2" t="s">
        <v>601</v>
      </c>
      <c r="C4" s="86">
        <f>216+2070+524+474+6733/5</f>
        <v>4630.6</v>
      </c>
      <c r="E4" s="2">
        <v>2</v>
      </c>
      <c r="F4" s="2" t="s">
        <v>587</v>
      </c>
      <c r="G4" s="1">
        <f>326+340+473+120+225+120+312</f>
        <v>1916</v>
      </c>
      <c r="I4" s="2">
        <v>2</v>
      </c>
      <c r="J4" s="2" t="s">
        <v>601</v>
      </c>
      <c r="K4" s="86">
        <f>216+2070+524+474+6733/5+262</f>
        <v>4892.6</v>
      </c>
      <c r="N4" s="2">
        <v>2</v>
      </c>
      <c r="O4" s="2" t="s">
        <v>659</v>
      </c>
      <c r="P4" s="86">
        <f>560+3896.6875+3237/7</f>
        <v>4919.116071428572</v>
      </c>
    </row>
    <row r="5" spans="1:16" ht="12.75">
      <c r="A5" s="2">
        <v>3</v>
      </c>
      <c r="B5" s="2" t="s">
        <v>659</v>
      </c>
      <c r="C5" s="86">
        <f>350+1985+881+1759/4+3802/4</f>
        <v>4606.25</v>
      </c>
      <c r="E5" s="2">
        <v>3</v>
      </c>
      <c r="F5" s="2" t="s">
        <v>601</v>
      </c>
      <c r="G5" s="1">
        <f>204+220+619+80+222+452</f>
        <v>1797</v>
      </c>
      <c r="I5" s="2">
        <v>3</v>
      </c>
      <c r="J5" s="2" t="s">
        <v>659</v>
      </c>
      <c r="K5" s="86">
        <f>350+1985+881+1759/4+3802/4+255</f>
        <v>4861.25</v>
      </c>
      <c r="N5" s="2">
        <v>3</v>
      </c>
      <c r="O5" s="2" t="s">
        <v>601</v>
      </c>
      <c r="P5" s="86">
        <f>473+3807.28730650155+2997/6</f>
        <v>4779.78730650155</v>
      </c>
    </row>
    <row r="6" spans="1:16" ht="12.75">
      <c r="A6" s="2">
        <v>4</v>
      </c>
      <c r="B6" s="21" t="s">
        <v>706</v>
      </c>
      <c r="C6" s="86">
        <f>126+2819+659+152+4077/6</f>
        <v>4435.5</v>
      </c>
      <c r="E6" s="2">
        <v>4</v>
      </c>
      <c r="F6" s="2" t="s">
        <v>632</v>
      </c>
      <c r="G6" s="1">
        <f>332+160+439+80+205+123+384</f>
        <v>1723</v>
      </c>
      <c r="I6" s="2">
        <v>4</v>
      </c>
      <c r="J6" s="21" t="s">
        <v>706</v>
      </c>
      <c r="K6" s="86">
        <f>126+2819+659+152+4077/6+374</f>
        <v>4809.5</v>
      </c>
      <c r="N6" s="2">
        <v>4</v>
      </c>
      <c r="O6" s="2" t="s">
        <v>1016</v>
      </c>
      <c r="P6" s="86">
        <f>160+3899.4375+1557/4</f>
        <v>4448.6875</v>
      </c>
    </row>
    <row r="7" spans="1:16" ht="12.75">
      <c r="A7" s="2">
        <v>5</v>
      </c>
      <c r="B7" s="2" t="s">
        <v>632</v>
      </c>
      <c r="C7" s="86">
        <f>390+1602+986+1773/5+5369/5</f>
        <v>4406.4</v>
      </c>
      <c r="E7" s="2">
        <v>5</v>
      </c>
      <c r="F7" s="2" t="s">
        <v>599</v>
      </c>
      <c r="G7" s="1">
        <f>421+160+374+120+199+175+118</f>
        <v>1567</v>
      </c>
      <c r="I7" s="2">
        <v>5</v>
      </c>
      <c r="J7" s="2" t="s">
        <v>632</v>
      </c>
      <c r="K7" s="86">
        <f>390+1602+986+1773/5+5369/5+298</f>
        <v>4704.4</v>
      </c>
      <c r="N7" s="2">
        <v>5</v>
      </c>
      <c r="O7" s="2" t="s">
        <v>632</v>
      </c>
      <c r="P7" s="86">
        <f>757+3242.4+1435/4</f>
        <v>4358.15</v>
      </c>
    </row>
    <row r="8" spans="1:16" ht="12.75">
      <c r="A8" s="2">
        <v>6</v>
      </c>
      <c r="B8" s="2" t="s">
        <v>1016</v>
      </c>
      <c r="C8" s="86">
        <f>565+1314+609+492+1445/4+3813/4</f>
        <v>4294.5</v>
      </c>
      <c r="E8" s="2">
        <v>6</v>
      </c>
      <c r="F8" s="2" t="s">
        <v>600</v>
      </c>
      <c r="G8" s="1">
        <f>596+420+80+233+189</f>
        <v>1518</v>
      </c>
      <c r="I8" s="2">
        <v>6</v>
      </c>
      <c r="J8" s="2" t="s">
        <v>1016</v>
      </c>
      <c r="K8" s="86">
        <f>565+1314+609+492+1445/4+3813/4+322</f>
        <v>4616.5</v>
      </c>
      <c r="N8" s="2">
        <v>6</v>
      </c>
      <c r="O8" s="2" t="s">
        <v>706</v>
      </c>
      <c r="P8" s="86">
        <f>604+2701.25</f>
        <v>3305.25</v>
      </c>
    </row>
    <row r="9" spans="1:16" ht="12.75">
      <c r="A9" s="2">
        <v>7</v>
      </c>
      <c r="B9" s="2" t="s">
        <v>599</v>
      </c>
      <c r="C9" s="86">
        <f>296+2155+319+269+1628/4</f>
        <v>3446</v>
      </c>
      <c r="E9" s="2">
        <v>7</v>
      </c>
      <c r="F9" s="2" t="s">
        <v>595</v>
      </c>
      <c r="G9" s="1">
        <f>428+240+120+202+154+277</f>
        <v>1421</v>
      </c>
      <c r="I9" s="2">
        <v>7</v>
      </c>
      <c r="J9" s="2" t="s">
        <v>599</v>
      </c>
      <c r="K9" s="86">
        <f>296+2155+319+269+1628/4+215</f>
        <v>3661</v>
      </c>
      <c r="N9" s="2">
        <v>7</v>
      </c>
      <c r="O9" s="2" t="s">
        <v>1015</v>
      </c>
      <c r="P9" s="86">
        <f>461+2428.57142857143</f>
        <v>2889.57142857143</v>
      </c>
    </row>
    <row r="10" spans="1:16" ht="12.75">
      <c r="A10" s="2">
        <v>8</v>
      </c>
      <c r="B10" s="20" t="s">
        <v>589</v>
      </c>
      <c r="C10" s="86">
        <f>202+2207+179+274/3+1360/3</f>
        <v>3132.666666666667</v>
      </c>
      <c r="E10" s="2">
        <v>8</v>
      </c>
      <c r="F10" s="2" t="s">
        <v>1016</v>
      </c>
      <c r="G10" s="1">
        <f>527+140+120+194+167+246</f>
        <v>1394</v>
      </c>
      <c r="I10" s="2">
        <v>8</v>
      </c>
      <c r="J10" s="20" t="s">
        <v>589</v>
      </c>
      <c r="K10" s="86">
        <f>202+2207+179+274/3+1360/3+236</f>
        <v>3368.666666666667</v>
      </c>
      <c r="N10" s="2">
        <v>8</v>
      </c>
      <c r="O10" s="2" t="s">
        <v>599</v>
      </c>
      <c r="P10" s="86">
        <f>327+1961</f>
        <v>2288</v>
      </c>
    </row>
    <row r="11" spans="1:16" ht="12.75">
      <c r="A11" s="2">
        <v>9</v>
      </c>
      <c r="B11" s="2" t="s">
        <v>587</v>
      </c>
      <c r="C11" s="86">
        <f>289+1782+517+151+1490/4</f>
        <v>3111.5</v>
      </c>
      <c r="E11" s="2">
        <v>9</v>
      </c>
      <c r="F11" s="2" t="s">
        <v>886</v>
      </c>
      <c r="G11" s="1">
        <f>243+200+120+287+527</f>
        <v>1377</v>
      </c>
      <c r="I11" s="2">
        <v>9</v>
      </c>
      <c r="J11" s="2" t="s">
        <v>1015</v>
      </c>
      <c r="K11" s="86">
        <f>180+1806+381+839/3+1246/3+282</f>
        <v>3344</v>
      </c>
      <c r="N11" s="2">
        <v>9</v>
      </c>
      <c r="O11" s="20" t="s">
        <v>843</v>
      </c>
      <c r="P11" s="86">
        <f>533+1590.66</f>
        <v>2123.66</v>
      </c>
    </row>
    <row r="12" spans="1:16" ht="12.75">
      <c r="A12" s="2">
        <v>10</v>
      </c>
      <c r="B12" s="2" t="s">
        <v>1015</v>
      </c>
      <c r="C12" s="86">
        <f>180+1806+381+839/3+1246/3</f>
        <v>3062</v>
      </c>
      <c r="E12" s="2">
        <v>10</v>
      </c>
      <c r="F12" s="2" t="s">
        <v>659</v>
      </c>
      <c r="G12" s="1">
        <f>360+140+120+235+230+182</f>
        <v>1267</v>
      </c>
      <c r="I12" s="2">
        <v>10</v>
      </c>
      <c r="J12" s="2" t="s">
        <v>587</v>
      </c>
      <c r="K12" s="86">
        <f>289+1782+517+151+1490/4+141</f>
        <v>3252.5</v>
      </c>
      <c r="N12" s="2">
        <v>10</v>
      </c>
      <c r="O12" s="2" t="s">
        <v>886</v>
      </c>
      <c r="P12" s="86">
        <f>184+1908.66666666667</f>
        <v>2092.6666666666697</v>
      </c>
    </row>
    <row r="13" spans="1:16" ht="12.75">
      <c r="A13" s="2">
        <v>11</v>
      </c>
      <c r="B13" s="2" t="s">
        <v>886</v>
      </c>
      <c r="C13" s="86">
        <f>348+1214+270+427+1473/3</f>
        <v>2750</v>
      </c>
      <c r="E13" s="2">
        <v>11</v>
      </c>
      <c r="F13" s="21" t="s">
        <v>593</v>
      </c>
      <c r="G13" s="1">
        <f>225+40+120+209+172+487</f>
        <v>1253</v>
      </c>
      <c r="I13" s="2">
        <v>11</v>
      </c>
      <c r="J13" s="2" t="s">
        <v>886</v>
      </c>
      <c r="K13" s="86">
        <f>348+1214+270+427+1473/3+210</f>
        <v>2960</v>
      </c>
      <c r="N13" s="2">
        <v>11</v>
      </c>
      <c r="O13" s="2" t="s">
        <v>725</v>
      </c>
      <c r="P13" s="86">
        <f>584+1488.64583333333</f>
        <v>2072.6458333333303</v>
      </c>
    </row>
    <row r="14" spans="1:16" ht="12.75">
      <c r="A14" s="2">
        <v>12</v>
      </c>
      <c r="B14" s="2" t="s">
        <v>592</v>
      </c>
      <c r="C14" s="86">
        <f>23+1617+347+1093/3+638/3</f>
        <v>2564</v>
      </c>
      <c r="E14" s="2">
        <v>12</v>
      </c>
      <c r="F14" s="2" t="s">
        <v>588</v>
      </c>
      <c r="G14" s="1">
        <f>425+160+120+239+211</f>
        <v>1155</v>
      </c>
      <c r="I14" s="2">
        <v>12</v>
      </c>
      <c r="J14" s="2" t="s">
        <v>592</v>
      </c>
      <c r="K14" s="86">
        <f>23+1617+347+1093/3+638/3+233</f>
        <v>2797</v>
      </c>
      <c r="N14" s="2">
        <v>12</v>
      </c>
      <c r="O14" s="2" t="s">
        <v>587</v>
      </c>
      <c r="P14" s="86">
        <f>436+1634.54545454545</f>
        <v>2070.54545454545</v>
      </c>
    </row>
    <row r="15" spans="1:16" ht="12.75">
      <c r="A15" s="2">
        <v>13</v>
      </c>
      <c r="B15" s="2" t="s">
        <v>627</v>
      </c>
      <c r="C15" s="86">
        <f>381+1223+499+675/3+586/3</f>
        <v>2523.3333333333335</v>
      </c>
      <c r="E15" s="2">
        <v>13</v>
      </c>
      <c r="F15" s="2" t="s">
        <v>1015</v>
      </c>
      <c r="G15" s="1">
        <f>362+140+120+162+136+107</f>
        <v>1027</v>
      </c>
      <c r="I15" s="2">
        <v>13</v>
      </c>
      <c r="J15" s="2" t="s">
        <v>627</v>
      </c>
      <c r="K15" s="86">
        <f>381+1223+499+675/3+586/3+224</f>
        <v>2747.3333333333335</v>
      </c>
      <c r="N15" s="2">
        <v>13</v>
      </c>
      <c r="O15" s="2" t="s">
        <v>598</v>
      </c>
      <c r="P15" s="86">
        <f>236+1725.85416666667</f>
        <v>1961.85416666667</v>
      </c>
    </row>
    <row r="16" spans="1:16" ht="12.75">
      <c r="A16" s="2">
        <v>14</v>
      </c>
      <c r="B16" s="2" t="s">
        <v>1018</v>
      </c>
      <c r="C16" s="86">
        <f>169.7+1194+112+132+219+1033/3+506/3</f>
        <v>2339.7</v>
      </c>
      <c r="E16" s="2">
        <v>14</v>
      </c>
      <c r="F16" s="2" t="s">
        <v>598</v>
      </c>
      <c r="G16" s="1">
        <f>139+220+361+60+218</f>
        <v>998</v>
      </c>
      <c r="I16" s="2">
        <v>14</v>
      </c>
      <c r="J16" s="2" t="s">
        <v>843</v>
      </c>
      <c r="K16" s="86">
        <f>16.66+932.25+443+340+192+2040/5+191</f>
        <v>2522.91</v>
      </c>
      <c r="N16" s="2">
        <v>14</v>
      </c>
      <c r="O16" s="2" t="s">
        <v>627</v>
      </c>
      <c r="P16" s="86">
        <f>193+1713.33333333333</f>
        <v>1906.33333333333</v>
      </c>
    </row>
    <row r="17" spans="1:16" ht="12.75">
      <c r="A17" s="2">
        <v>15</v>
      </c>
      <c r="B17" s="2" t="s">
        <v>843</v>
      </c>
      <c r="C17" s="86">
        <f>16.66+932.25+443+340+192+2040/5</f>
        <v>2331.91</v>
      </c>
      <c r="E17" s="2">
        <v>15</v>
      </c>
      <c r="F17" s="2" t="s">
        <v>734</v>
      </c>
      <c r="G17" s="1">
        <f>359+140+60+269</f>
        <v>828</v>
      </c>
      <c r="I17" s="2">
        <v>15</v>
      </c>
      <c r="J17" s="2" t="s">
        <v>598</v>
      </c>
      <c r="K17" s="86">
        <f>163+1168+198+1184/3+648/3+306</f>
        <v>2445.666666666667</v>
      </c>
      <c r="N17" s="2">
        <v>15</v>
      </c>
      <c r="O17" s="2" t="s">
        <v>589</v>
      </c>
      <c r="P17" s="86">
        <f>352+1415.33333333333</f>
        <v>1767.33333333333</v>
      </c>
    </row>
    <row r="18" spans="1:16" ht="12.75">
      <c r="A18" s="2">
        <v>16</v>
      </c>
      <c r="B18" s="2" t="s">
        <v>595</v>
      </c>
      <c r="C18" s="86">
        <f>140+1425+213+690/3+685/3</f>
        <v>2236.3333333333335</v>
      </c>
      <c r="E18" s="2">
        <v>16</v>
      </c>
      <c r="F18" s="20" t="s">
        <v>589</v>
      </c>
      <c r="G18" s="1">
        <f>305+120+80+165+139</f>
        <v>809</v>
      </c>
      <c r="I18" s="2">
        <v>16</v>
      </c>
      <c r="J18" s="2" t="s">
        <v>1018</v>
      </c>
      <c r="K18" s="86">
        <f>169.7+1194+112+132+219+1033/3+506/3+103</f>
        <v>2442.7</v>
      </c>
      <c r="N18" s="2">
        <v>16</v>
      </c>
      <c r="O18" s="2" t="s">
        <v>690</v>
      </c>
      <c r="P18" s="86">
        <f>256+1484.52941176471</f>
        <v>1740.52941176471</v>
      </c>
    </row>
    <row r="19" spans="1:16" ht="12.75">
      <c r="A19" s="2">
        <v>17</v>
      </c>
      <c r="B19" s="2" t="s">
        <v>596</v>
      </c>
      <c r="C19" s="86">
        <f>204+1455+191+587/3+492/3</f>
        <v>2209.666666666667</v>
      </c>
      <c r="E19" s="2">
        <v>17</v>
      </c>
      <c r="F19" s="2" t="s">
        <v>725</v>
      </c>
      <c r="G19" s="1">
        <f>541+220</f>
        <v>761</v>
      </c>
      <c r="I19" s="2">
        <v>17</v>
      </c>
      <c r="J19" s="2" t="s">
        <v>596</v>
      </c>
      <c r="K19" s="86">
        <f>204+1455+191+587/3+492/3+201</f>
        <v>2410.666666666667</v>
      </c>
      <c r="N19" s="2">
        <v>17</v>
      </c>
      <c r="O19" s="2" t="s">
        <v>1022</v>
      </c>
      <c r="P19" s="86">
        <f>259+1405</f>
        <v>1664</v>
      </c>
    </row>
    <row r="20" spans="1:16" ht="12.75">
      <c r="A20" s="2">
        <v>18</v>
      </c>
      <c r="B20" s="2" t="s">
        <v>588</v>
      </c>
      <c r="C20" s="86">
        <f>111+1489+182+624/3+546/3</f>
        <v>2172</v>
      </c>
      <c r="E20" s="2">
        <v>18</v>
      </c>
      <c r="F20" s="2" t="s">
        <v>596</v>
      </c>
      <c r="G20" s="1">
        <f>111+160+171+60+196</f>
        <v>698</v>
      </c>
      <c r="I20" s="2">
        <v>18</v>
      </c>
      <c r="J20" s="2" t="s">
        <v>595</v>
      </c>
      <c r="K20" s="86">
        <f>140+1425+213+690/3+685/3+109</f>
        <v>2345.3333333333335</v>
      </c>
      <c r="N20" s="2">
        <v>18</v>
      </c>
      <c r="O20" s="2" t="s">
        <v>600</v>
      </c>
      <c r="P20" s="86">
        <f>427+1205.875</f>
        <v>1632.875</v>
      </c>
    </row>
    <row r="21" spans="1:16" ht="12.75">
      <c r="A21" s="2">
        <v>19</v>
      </c>
      <c r="B21" s="2" t="s">
        <v>600</v>
      </c>
      <c r="C21" s="86">
        <f>119+1306+235+848/3+607/3</f>
        <v>2145</v>
      </c>
      <c r="E21" s="2">
        <v>19</v>
      </c>
      <c r="F21" s="2" t="s">
        <v>843</v>
      </c>
      <c r="G21" s="1">
        <f>329+60+60+235</f>
        <v>684</v>
      </c>
      <c r="I21" s="2">
        <v>19</v>
      </c>
      <c r="J21" s="2" t="s">
        <v>588</v>
      </c>
      <c r="K21" s="86">
        <f>111+1489+182+624/3+546/3+158</f>
        <v>2330</v>
      </c>
      <c r="N21" s="2">
        <v>19</v>
      </c>
      <c r="O21" s="2" t="s">
        <v>595</v>
      </c>
      <c r="P21" s="86">
        <f>414+1122</f>
        <v>1536</v>
      </c>
    </row>
    <row r="22" spans="1:16" ht="12.75">
      <c r="A22" s="2">
        <v>20</v>
      </c>
      <c r="B22" s="2" t="s">
        <v>598</v>
      </c>
      <c r="C22" s="86">
        <f>163+1168+198+1184/3+648/3</f>
        <v>2139.666666666667</v>
      </c>
      <c r="E22" s="2">
        <v>20</v>
      </c>
      <c r="F22" s="2" t="s">
        <v>802</v>
      </c>
      <c r="G22" s="1">
        <f>395+140+120</f>
        <v>655</v>
      </c>
      <c r="I22" s="2">
        <v>20</v>
      </c>
      <c r="J22" s="2" t="s">
        <v>600</v>
      </c>
      <c r="K22" s="86">
        <f>119+1306+235+848/3+607/3+99</f>
        <v>2244</v>
      </c>
      <c r="N22" s="2">
        <v>20</v>
      </c>
      <c r="O22" s="2" t="s">
        <v>1018</v>
      </c>
      <c r="P22" s="86">
        <f>247+1248.7</f>
        <v>1495.7</v>
      </c>
    </row>
    <row r="23" spans="1:16" ht="12.75">
      <c r="A23" s="2">
        <v>21</v>
      </c>
      <c r="B23" s="21" t="s">
        <v>1017</v>
      </c>
      <c r="C23" s="86">
        <f>4+1291.97872340426+32+95+171+379/3+482/3</f>
        <v>1880.97872340426</v>
      </c>
      <c r="E23" s="2">
        <v>21</v>
      </c>
      <c r="F23" s="2" t="s">
        <v>1019</v>
      </c>
      <c r="G23" s="1">
        <f>287+60+200</f>
        <v>547</v>
      </c>
      <c r="I23" s="2">
        <v>21</v>
      </c>
      <c r="J23" s="2" t="s">
        <v>725</v>
      </c>
      <c r="K23" s="86">
        <f>374+759+341+751/3+480</f>
        <v>2204.333333333333</v>
      </c>
      <c r="N23" s="2">
        <v>21</v>
      </c>
      <c r="O23" s="2" t="s">
        <v>592</v>
      </c>
      <c r="P23" s="86">
        <f>242+1217.19230769231</f>
        <v>1459.19230769231</v>
      </c>
    </row>
    <row r="24" spans="1:16" ht="12.75">
      <c r="A24" s="2">
        <v>22</v>
      </c>
      <c r="B24" s="2" t="s">
        <v>1020</v>
      </c>
      <c r="C24" s="86">
        <f>20+993.4375+367+157+416/3+597/3</f>
        <v>1875.1041666666667</v>
      </c>
      <c r="E24" s="2">
        <v>22</v>
      </c>
      <c r="F24" s="2" t="s">
        <v>592</v>
      </c>
      <c r="G24" s="1">
        <f>186+80+60+189</f>
        <v>515</v>
      </c>
      <c r="I24" s="2">
        <v>22</v>
      </c>
      <c r="J24" s="2" t="s">
        <v>1020</v>
      </c>
      <c r="K24" s="86">
        <f>20+993.4375+367+157+416/3+597/3+236</f>
        <v>2111.104166666667</v>
      </c>
      <c r="N24" s="2">
        <v>22</v>
      </c>
      <c r="O24" s="2" t="s">
        <v>1020</v>
      </c>
      <c r="P24" s="86">
        <f>171+1117.66666666667</f>
        <v>1288.66666666667</v>
      </c>
    </row>
    <row r="25" spans="1:16" ht="12.75">
      <c r="A25" s="2">
        <v>23</v>
      </c>
      <c r="B25" s="2" t="s">
        <v>725</v>
      </c>
      <c r="C25" s="86">
        <f>374+759+341+751/3</f>
        <v>1724.3333333333333</v>
      </c>
      <c r="E25" s="2">
        <v>23</v>
      </c>
      <c r="F25" s="2" t="s">
        <v>1028</v>
      </c>
      <c r="G25" s="1">
        <f>446+60</f>
        <v>506</v>
      </c>
      <c r="I25" s="2">
        <v>23</v>
      </c>
      <c r="J25" s="2" t="s">
        <v>690</v>
      </c>
      <c r="K25" s="86">
        <f>255+711+274+394+451</f>
        <v>2085</v>
      </c>
      <c r="N25" s="2">
        <v>23</v>
      </c>
      <c r="O25" s="2" t="s">
        <v>596</v>
      </c>
      <c r="P25" s="86">
        <f>156+1054.66666666667</f>
        <v>1210.66666666667</v>
      </c>
    </row>
    <row r="26" spans="1:16" ht="12.75">
      <c r="A26" s="2">
        <v>24</v>
      </c>
      <c r="B26" s="2" t="s">
        <v>781</v>
      </c>
      <c r="C26" s="86">
        <f>116+1168+178+105+447/3</f>
        <v>1716</v>
      </c>
      <c r="E26" s="2">
        <v>24</v>
      </c>
      <c r="F26" s="2" t="s">
        <v>781</v>
      </c>
      <c r="G26" s="1">
        <f>60+20+218+150</f>
        <v>448</v>
      </c>
      <c r="I26" s="2">
        <v>24</v>
      </c>
      <c r="J26" s="21" t="s">
        <v>1017</v>
      </c>
      <c r="K26" s="86">
        <f>4+1291.97872340426+32+95+171+379/3+482/3+115</f>
        <v>1995.97872340426</v>
      </c>
      <c r="N26" s="2">
        <v>24</v>
      </c>
      <c r="O26" s="2" t="s">
        <v>588</v>
      </c>
      <c r="P26" s="86">
        <f>224+904</f>
        <v>1128</v>
      </c>
    </row>
    <row r="27" spans="1:16" ht="12.75">
      <c r="A27" s="2">
        <v>25</v>
      </c>
      <c r="B27" s="2" t="s">
        <v>1022</v>
      </c>
      <c r="C27" s="86">
        <f>538+429.6875+385+927/3</f>
        <v>1661.6875</v>
      </c>
      <c r="E27" s="2">
        <v>25</v>
      </c>
      <c r="F27" s="2" t="s">
        <v>1024</v>
      </c>
      <c r="G27" s="1">
        <f>272+120</f>
        <v>392</v>
      </c>
      <c r="I27" s="2">
        <v>25</v>
      </c>
      <c r="J27" s="2" t="s">
        <v>781</v>
      </c>
      <c r="K27" s="86">
        <f>116+1168+178+105+447/3+160</f>
        <v>1876</v>
      </c>
      <c r="N27" s="2">
        <v>25</v>
      </c>
      <c r="O27" s="2" t="s">
        <v>781</v>
      </c>
      <c r="P27" s="86">
        <f>250+776</f>
        <v>1026</v>
      </c>
    </row>
    <row r="28" spans="1:16" ht="12.75">
      <c r="A28" s="2">
        <v>26</v>
      </c>
      <c r="B28" s="2" t="s">
        <v>690</v>
      </c>
      <c r="C28" s="86">
        <f>255+711+274+394</f>
        <v>1634</v>
      </c>
      <c r="E28" s="2">
        <v>26</v>
      </c>
      <c r="F28" s="2" t="s">
        <v>685</v>
      </c>
      <c r="G28" s="1">
        <f>172+60</f>
        <v>232</v>
      </c>
      <c r="I28" s="2">
        <v>26</v>
      </c>
      <c r="J28" s="2" t="s">
        <v>654</v>
      </c>
      <c r="K28" s="86">
        <f>66+1107.33333333333+73+207+529/3+216</f>
        <v>1845.6666666666633</v>
      </c>
      <c r="N28" s="2">
        <v>26</v>
      </c>
      <c r="O28" s="2" t="s">
        <v>1017</v>
      </c>
      <c r="P28" s="86">
        <f>154+704.000000000005</f>
        <v>858.000000000005</v>
      </c>
    </row>
    <row r="29" spans="1:16" ht="12.75">
      <c r="A29" s="2">
        <v>27</v>
      </c>
      <c r="B29" s="2" t="s">
        <v>654</v>
      </c>
      <c r="C29" s="86">
        <f>66+1107.33333333333+73+207+529/3</f>
        <v>1629.6666666666633</v>
      </c>
      <c r="E29" s="2">
        <v>27</v>
      </c>
      <c r="F29" s="2" t="s">
        <v>1022</v>
      </c>
      <c r="G29" s="1">
        <f>167+60</f>
        <v>227</v>
      </c>
      <c r="I29" s="2">
        <v>27</v>
      </c>
      <c r="J29" s="2" t="s">
        <v>1022</v>
      </c>
      <c r="K29" s="86">
        <f>538+429.6875+385+927/3+173</f>
        <v>1834.6875</v>
      </c>
      <c r="N29" s="2">
        <v>27</v>
      </c>
      <c r="O29" s="2" t="s">
        <v>785</v>
      </c>
      <c r="P29" s="86">
        <v>821.6</v>
      </c>
    </row>
    <row r="30" spans="1:16" ht="12.75">
      <c r="A30" s="2">
        <v>28</v>
      </c>
      <c r="B30" s="2" t="s">
        <v>790</v>
      </c>
      <c r="C30" s="86">
        <f>108+1111+168+225</f>
        <v>1612</v>
      </c>
      <c r="E30" s="2">
        <v>28</v>
      </c>
      <c r="F30" s="21" t="s">
        <v>1017</v>
      </c>
      <c r="G30" s="1">
        <f>161+60</f>
        <v>221</v>
      </c>
      <c r="I30" s="2">
        <v>28</v>
      </c>
      <c r="J30" s="2" t="s">
        <v>790</v>
      </c>
      <c r="K30" s="86">
        <f>108+1111+168+225+180</f>
        <v>1792</v>
      </c>
      <c r="N30" s="2">
        <v>28</v>
      </c>
      <c r="O30" s="2" t="s">
        <v>1024</v>
      </c>
      <c r="P30" s="86">
        <v>806</v>
      </c>
    </row>
    <row r="31" spans="1:16" ht="12.75">
      <c r="A31" s="2">
        <v>29</v>
      </c>
      <c r="B31" s="2" t="s">
        <v>1019</v>
      </c>
      <c r="C31" s="86">
        <f>48+1108.66666666667+137+138+415/3</f>
        <v>1570.0000000000032</v>
      </c>
      <c r="E31" s="2">
        <v>29</v>
      </c>
      <c r="F31" s="2" t="s">
        <v>627</v>
      </c>
      <c r="G31" s="1">
        <f>155+60</f>
        <v>215</v>
      </c>
      <c r="I31" s="2">
        <v>29</v>
      </c>
      <c r="J31" s="2" t="s">
        <v>1019</v>
      </c>
      <c r="K31" s="86">
        <f>48+1108.66666666667+137+138+415/3+202</f>
        <v>1772.0000000000032</v>
      </c>
      <c r="N31" s="2">
        <v>29</v>
      </c>
      <c r="O31" s="2" t="s">
        <v>654</v>
      </c>
      <c r="P31" s="86">
        <v>738.3333333333298</v>
      </c>
    </row>
    <row r="32" spans="1:16" ht="12.75">
      <c r="A32" s="2">
        <v>30</v>
      </c>
      <c r="B32" s="2" t="s">
        <v>669</v>
      </c>
      <c r="C32" s="86">
        <f>8+964.5625+187+169</f>
        <v>1328.5625</v>
      </c>
      <c r="E32" s="2">
        <v>30</v>
      </c>
      <c r="F32" s="2" t="s">
        <v>690</v>
      </c>
      <c r="G32" s="1">
        <f>146+60</f>
        <v>206</v>
      </c>
      <c r="I32" s="2">
        <v>30</v>
      </c>
      <c r="J32" s="2" t="s">
        <v>669</v>
      </c>
      <c r="K32" s="86">
        <f>8+964.5625+187+169+268</f>
        <v>1596.5625</v>
      </c>
      <c r="N32" s="2">
        <v>30</v>
      </c>
      <c r="O32" s="2" t="s">
        <v>1025</v>
      </c>
      <c r="P32" s="86">
        <v>737</v>
      </c>
    </row>
    <row r="33" spans="1:16" ht="12.75">
      <c r="A33" s="2">
        <v>31</v>
      </c>
      <c r="B33" s="2" t="s">
        <v>1021</v>
      </c>
      <c r="C33" s="86">
        <f>187+858+175</f>
        <v>1220</v>
      </c>
      <c r="E33" s="2">
        <v>31</v>
      </c>
      <c r="F33" s="2" t="s">
        <v>1021</v>
      </c>
      <c r="G33" s="1">
        <f>146+60</f>
        <v>206</v>
      </c>
      <c r="I33" s="2">
        <v>31</v>
      </c>
      <c r="J33" s="2" t="s">
        <v>1021</v>
      </c>
      <c r="K33" s="86">
        <f>187+858+175+230</f>
        <v>1450</v>
      </c>
      <c r="N33" s="2">
        <v>31</v>
      </c>
      <c r="O33" s="2" t="s">
        <v>802</v>
      </c>
      <c r="P33" s="86">
        <v>726.8125</v>
      </c>
    </row>
    <row r="34" spans="1:16" ht="12.75">
      <c r="A34" s="2">
        <v>32</v>
      </c>
      <c r="B34" s="2" t="s">
        <v>785</v>
      </c>
      <c r="C34" s="86">
        <f>75.6+627+219+238</f>
        <v>1159.6</v>
      </c>
      <c r="E34" s="2">
        <v>32</v>
      </c>
      <c r="F34" s="2" t="s">
        <v>785</v>
      </c>
      <c r="G34" s="1">
        <v>20</v>
      </c>
      <c r="I34" s="2">
        <v>32</v>
      </c>
      <c r="J34" s="2" t="s">
        <v>785</v>
      </c>
      <c r="K34" s="86">
        <f>75.6+627+219+238+289</f>
        <v>1448.6</v>
      </c>
      <c r="N34" s="2">
        <v>32</v>
      </c>
      <c r="O34" s="2" t="s">
        <v>720</v>
      </c>
      <c r="P34" s="86">
        <v>687</v>
      </c>
    </row>
    <row r="35" spans="1:16" ht="12.75">
      <c r="A35" s="2">
        <v>33</v>
      </c>
      <c r="B35" s="2" t="s">
        <v>602</v>
      </c>
      <c r="C35" s="86">
        <f>15+874.5+142+101</f>
        <v>1132.5</v>
      </c>
      <c r="E35" s="2">
        <v>33</v>
      </c>
      <c r="F35" s="2" t="s">
        <v>602</v>
      </c>
      <c r="G35" s="1">
        <v>20</v>
      </c>
      <c r="I35" s="2">
        <v>33</v>
      </c>
      <c r="J35" s="2" t="s">
        <v>602</v>
      </c>
      <c r="K35" s="86">
        <f>15+874.5+142+101+175</f>
        <v>1307.5</v>
      </c>
      <c r="N35" s="2">
        <v>33</v>
      </c>
      <c r="O35" s="2" t="s">
        <v>790</v>
      </c>
      <c r="P35" s="86">
        <v>681.3333333333335</v>
      </c>
    </row>
    <row r="36" spans="1:16" ht="12.75">
      <c r="A36" s="2">
        <v>34</v>
      </c>
      <c r="B36" s="2" t="s">
        <v>1023</v>
      </c>
      <c r="C36" s="86">
        <f>177+680+484/3</f>
        <v>1018.3333333333334</v>
      </c>
      <c r="E36" s="2">
        <v>34</v>
      </c>
      <c r="F36" s="2" t="s">
        <v>720</v>
      </c>
      <c r="G36" s="1">
        <v>20</v>
      </c>
      <c r="I36" s="2">
        <v>34</v>
      </c>
      <c r="J36" s="2" t="s">
        <v>1025</v>
      </c>
      <c r="K36" s="86">
        <f>16+551.142857142857+167+232+322</f>
        <v>1288.1428571428569</v>
      </c>
      <c r="N36" s="2">
        <v>34</v>
      </c>
      <c r="O36" s="2" t="s">
        <v>1019</v>
      </c>
      <c r="P36" s="86">
        <v>663.3333333333367</v>
      </c>
    </row>
    <row r="37" spans="1:16" ht="12.75">
      <c r="A37" s="2">
        <v>35</v>
      </c>
      <c r="B37" s="2" t="s">
        <v>720</v>
      </c>
      <c r="C37" s="86">
        <f>148+556.1875+592/2</f>
        <v>1000.1875</v>
      </c>
      <c r="E37" s="2">
        <v>35</v>
      </c>
      <c r="F37" s="2" t="s">
        <v>1025</v>
      </c>
      <c r="G37" s="1">
        <v>20</v>
      </c>
      <c r="I37" s="2">
        <v>35</v>
      </c>
      <c r="J37" s="2" t="s">
        <v>720</v>
      </c>
      <c r="K37" s="86">
        <f>148+556.1875+592/2+243</f>
        <v>1243.1875</v>
      </c>
      <c r="N37" s="2">
        <v>35</v>
      </c>
      <c r="O37" s="2" t="s">
        <v>1028</v>
      </c>
      <c r="P37" s="86">
        <v>636</v>
      </c>
    </row>
    <row r="38" spans="1:16" ht="12.75">
      <c r="A38" s="2">
        <v>36</v>
      </c>
      <c r="B38" s="2" t="s">
        <v>802</v>
      </c>
      <c r="C38" s="86">
        <f>276+490+224</f>
        <v>990</v>
      </c>
      <c r="E38" s="2">
        <v>36</v>
      </c>
      <c r="F38" s="2" t="s">
        <v>1027</v>
      </c>
      <c r="G38" s="1">
        <v>20</v>
      </c>
      <c r="I38" s="2">
        <v>36</v>
      </c>
      <c r="J38" s="2" t="s">
        <v>1023</v>
      </c>
      <c r="K38" s="86">
        <f>177+680+484/3+201</f>
        <v>1219.3333333333335</v>
      </c>
      <c r="N38" s="2">
        <v>36</v>
      </c>
      <c r="O38" s="2" t="s">
        <v>734</v>
      </c>
      <c r="P38" s="86">
        <v>633.0625</v>
      </c>
    </row>
    <row r="39" spans="1:16" ht="12.75">
      <c r="A39" s="2">
        <v>37</v>
      </c>
      <c r="B39" s="2" t="s">
        <v>1025</v>
      </c>
      <c r="C39" s="86">
        <f>16+551.142857142857+167+232</f>
        <v>966.142857142857</v>
      </c>
      <c r="E39" s="2">
        <v>37</v>
      </c>
      <c r="F39" s="2" t="s">
        <v>1029</v>
      </c>
      <c r="G39" s="1">
        <v>20</v>
      </c>
      <c r="I39" s="2">
        <v>37</v>
      </c>
      <c r="J39" s="2" t="s">
        <v>1024</v>
      </c>
      <c r="K39" s="86">
        <f>50+409.411764705882+243+179+334</f>
        <v>1215.411764705882</v>
      </c>
      <c r="N39" s="2">
        <v>37</v>
      </c>
      <c r="O39" s="2" t="s">
        <v>669</v>
      </c>
      <c r="P39" s="86">
        <v>632</v>
      </c>
    </row>
    <row r="40" spans="1:16" ht="12.75">
      <c r="A40" s="2">
        <v>38</v>
      </c>
      <c r="B40" s="2" t="s">
        <v>685</v>
      </c>
      <c r="C40" s="86">
        <f>144+622+183</f>
        <v>949</v>
      </c>
      <c r="E40" s="2">
        <v>38</v>
      </c>
      <c r="F40" s="2" t="s">
        <v>1020</v>
      </c>
      <c r="G40" s="1">
        <v>3</v>
      </c>
      <c r="I40" s="2">
        <v>38</v>
      </c>
      <c r="J40" s="2" t="s">
        <v>685</v>
      </c>
      <c r="K40" s="86">
        <f>144+622+183+226</f>
        <v>1175</v>
      </c>
      <c r="N40" s="2">
        <v>38</v>
      </c>
      <c r="O40" s="2" t="s">
        <v>1021</v>
      </c>
      <c r="P40" s="86">
        <v>627.0625</v>
      </c>
    </row>
    <row r="41" spans="1:16" ht="12.75">
      <c r="A41" s="2">
        <v>39</v>
      </c>
      <c r="B41" s="2" t="s">
        <v>734</v>
      </c>
      <c r="C41" s="86">
        <f>231+452+199</f>
        <v>882</v>
      </c>
      <c r="E41" s="2">
        <v>39</v>
      </c>
      <c r="F41" s="2" t="s">
        <v>654</v>
      </c>
      <c r="G41" s="1">
        <v>2</v>
      </c>
      <c r="I41" s="2">
        <v>39</v>
      </c>
      <c r="J41" s="2" t="s">
        <v>802</v>
      </c>
      <c r="K41" s="86">
        <f>276+490+224+172</f>
        <v>1162</v>
      </c>
      <c r="N41" s="2">
        <v>39</v>
      </c>
      <c r="O41" s="2" t="s">
        <v>1023</v>
      </c>
      <c r="P41" s="86">
        <v>600.5833333333335</v>
      </c>
    </row>
    <row r="42" spans="1:16" ht="12.75">
      <c r="A42" s="2">
        <v>40</v>
      </c>
      <c r="B42" s="2" t="s">
        <v>1024</v>
      </c>
      <c r="C42" s="86">
        <f>50+409.411764705882+243+179</f>
        <v>881.411764705882</v>
      </c>
      <c r="E42" s="2">
        <v>40</v>
      </c>
      <c r="F42" s="2" t="s">
        <v>790</v>
      </c>
      <c r="G42" s="1">
        <v>2</v>
      </c>
      <c r="I42" s="2">
        <v>40</v>
      </c>
      <c r="J42" s="2" t="s">
        <v>1028</v>
      </c>
      <c r="K42" s="86">
        <f>161+413.875+182+293</f>
        <v>1049.875</v>
      </c>
      <c r="N42" s="2">
        <v>40</v>
      </c>
      <c r="O42" s="21" t="s">
        <v>685</v>
      </c>
      <c r="P42" s="86">
        <v>552.8125</v>
      </c>
    </row>
    <row r="43" spans="1:16" ht="12.75">
      <c r="A43" s="2">
        <v>41</v>
      </c>
      <c r="B43" s="2" t="s">
        <v>1028</v>
      </c>
      <c r="C43" s="86">
        <f>161+413.875+182</f>
        <v>756.875</v>
      </c>
      <c r="E43" s="2">
        <v>41</v>
      </c>
      <c r="F43" s="2" t="s">
        <v>669</v>
      </c>
      <c r="G43" s="1">
        <v>2</v>
      </c>
      <c r="I43" s="2">
        <v>41</v>
      </c>
      <c r="J43" s="2" t="s">
        <v>734</v>
      </c>
      <c r="K43" s="86">
        <f>231+452+199+167</f>
        <v>1049</v>
      </c>
      <c r="N43" s="2">
        <v>41</v>
      </c>
      <c r="O43" s="2" t="s">
        <v>1029</v>
      </c>
      <c r="P43" s="86">
        <v>485</v>
      </c>
    </row>
    <row r="44" spans="1:16" ht="12.75">
      <c r="A44" s="2">
        <v>42</v>
      </c>
      <c r="B44" s="2" t="s">
        <v>1027</v>
      </c>
      <c r="C44" s="86">
        <f>96+427.625+368/2</f>
        <v>707.625</v>
      </c>
      <c r="E44" s="2">
        <v>42</v>
      </c>
      <c r="F44" s="2" t="s">
        <v>1018</v>
      </c>
      <c r="G44" s="1">
        <v>1</v>
      </c>
      <c r="I44" s="2">
        <v>42</v>
      </c>
      <c r="J44" s="2" t="s">
        <v>1029</v>
      </c>
      <c r="K44" s="86">
        <f>63+409.818181818182+141+281</f>
        <v>894.818181818182</v>
      </c>
      <c r="N44" s="2">
        <v>42</v>
      </c>
      <c r="O44" s="2" t="s">
        <v>1027</v>
      </c>
      <c r="P44" s="86">
        <v>461</v>
      </c>
    </row>
    <row r="45" spans="1:16" ht="12.75">
      <c r="A45" s="2">
        <v>43</v>
      </c>
      <c r="B45" s="2" t="s">
        <v>1029</v>
      </c>
      <c r="C45" s="86">
        <f>63+409.818181818182+141</f>
        <v>613.818181818182</v>
      </c>
      <c r="E45" s="2">
        <v>43</v>
      </c>
      <c r="F45" s="2" t="s">
        <v>1023</v>
      </c>
      <c r="G45" s="1">
        <v>1</v>
      </c>
      <c r="I45" s="2">
        <v>43</v>
      </c>
      <c r="J45" s="2" t="s">
        <v>1027</v>
      </c>
      <c r="K45" s="86">
        <f>96+427.625+368/2+181</f>
        <v>888.625</v>
      </c>
      <c r="N45" s="2">
        <v>43</v>
      </c>
      <c r="O45" s="2" t="s">
        <v>602</v>
      </c>
      <c r="P45" s="86">
        <v>433</v>
      </c>
    </row>
    <row r="46" spans="1:16" ht="12.75">
      <c r="A46" s="2">
        <v>44</v>
      </c>
      <c r="B46" s="2" t="s">
        <v>1026</v>
      </c>
      <c r="C46" s="86">
        <f>23+440.6875+33+107</f>
        <v>603.6875</v>
      </c>
      <c r="E46" s="2">
        <v>44</v>
      </c>
      <c r="F46" s="2" t="s">
        <v>1026</v>
      </c>
      <c r="G46" s="1">
        <v>1</v>
      </c>
      <c r="I46" s="2">
        <v>44</v>
      </c>
      <c r="J46" s="2" t="s">
        <v>1026</v>
      </c>
      <c r="K46" s="86">
        <f>23+440.6875+33+107+186</f>
        <v>789.6875</v>
      </c>
      <c r="N46" s="2">
        <v>44</v>
      </c>
      <c r="O46" s="2" t="s">
        <v>1031</v>
      </c>
      <c r="P46" s="86">
        <v>352</v>
      </c>
    </row>
    <row r="47" spans="1:16" ht="12.75">
      <c r="A47" s="2">
        <v>45</v>
      </c>
      <c r="B47" s="2" t="s">
        <v>1030</v>
      </c>
      <c r="C47" s="86">
        <f>137/2+274.3125</f>
        <v>342.8125</v>
      </c>
      <c r="E47" s="2">
        <v>45</v>
      </c>
      <c r="F47" s="2" t="s">
        <v>1030</v>
      </c>
      <c r="G47" s="1"/>
      <c r="I47" s="2">
        <v>45</v>
      </c>
      <c r="J47" s="2" t="s">
        <v>1030</v>
      </c>
      <c r="K47" s="86">
        <f>137/2+274.3125+159</f>
        <v>501.8125</v>
      </c>
      <c r="N47" s="2">
        <v>45</v>
      </c>
      <c r="O47" s="2" t="s">
        <v>1026</v>
      </c>
      <c r="P47" s="86">
        <v>349</v>
      </c>
    </row>
    <row r="48" spans="1:16" ht="12.75">
      <c r="A48" s="2">
        <v>46</v>
      </c>
      <c r="B48" s="2" t="s">
        <v>1031</v>
      </c>
      <c r="C48" s="86">
        <f>9+95.5625+221</f>
        <v>325.5625</v>
      </c>
      <c r="E48" s="2">
        <v>46</v>
      </c>
      <c r="F48" s="2" t="s">
        <v>1031</v>
      </c>
      <c r="G48" s="1"/>
      <c r="I48" s="2">
        <v>46</v>
      </c>
      <c r="J48" s="2" t="s">
        <v>1031</v>
      </c>
      <c r="K48" s="86">
        <f>9+95.5625+221+122</f>
        <v>447.5625</v>
      </c>
      <c r="N48" s="2">
        <v>46</v>
      </c>
      <c r="O48" s="21" t="s">
        <v>1032</v>
      </c>
      <c r="P48" s="86">
        <v>333</v>
      </c>
    </row>
    <row r="49" spans="1:16" ht="12.75">
      <c r="A49" s="2">
        <v>47</v>
      </c>
      <c r="B49" s="2" t="s">
        <v>1032</v>
      </c>
      <c r="C49" s="86">
        <f>129+53.625+113</f>
        <v>295.625</v>
      </c>
      <c r="E49" s="2">
        <v>47</v>
      </c>
      <c r="F49" s="2" t="s">
        <v>1032</v>
      </c>
      <c r="G49" s="1"/>
      <c r="I49" s="2">
        <v>47</v>
      </c>
      <c r="J49" s="2" t="s">
        <v>1032</v>
      </c>
      <c r="K49" s="86">
        <f>129+53.625+113+91</f>
        <v>386.625</v>
      </c>
      <c r="N49" s="2">
        <v>47</v>
      </c>
      <c r="O49" s="2" t="s">
        <v>1033</v>
      </c>
      <c r="P49" s="86">
        <v>271.375</v>
      </c>
    </row>
    <row r="50" spans="1:16" ht="12.75">
      <c r="A50" s="2">
        <v>48</v>
      </c>
      <c r="B50" s="2" t="s">
        <v>1033</v>
      </c>
      <c r="C50" s="86">
        <f>118+38+20</f>
        <v>176</v>
      </c>
      <c r="E50" s="2">
        <v>48</v>
      </c>
      <c r="F50" s="2" t="s">
        <v>1033</v>
      </c>
      <c r="G50" s="1"/>
      <c r="I50" s="2">
        <v>48</v>
      </c>
      <c r="J50" s="2" t="s">
        <v>1033</v>
      </c>
      <c r="K50" s="86">
        <f>118+38+20+105</f>
        <v>281</v>
      </c>
      <c r="N50" s="2">
        <v>48</v>
      </c>
      <c r="O50" s="21" t="s">
        <v>1034</v>
      </c>
      <c r="P50" s="86">
        <v>239</v>
      </c>
    </row>
    <row r="51" spans="1:16" ht="12.75">
      <c r="A51" s="2">
        <v>49</v>
      </c>
      <c r="B51" s="2" t="s">
        <v>1034</v>
      </c>
      <c r="C51" s="86">
        <f>136+38.5</f>
        <v>174.5</v>
      </c>
      <c r="E51" s="2">
        <v>49</v>
      </c>
      <c r="F51" s="2" t="s">
        <v>1034</v>
      </c>
      <c r="G51" s="1"/>
      <c r="I51" s="2">
        <v>49</v>
      </c>
      <c r="J51" s="2" t="s">
        <v>1034</v>
      </c>
      <c r="K51" s="86">
        <f>136+38.5+103</f>
        <v>277.5</v>
      </c>
      <c r="N51" s="2">
        <v>49</v>
      </c>
      <c r="O51" s="2" t="s">
        <v>1030</v>
      </c>
      <c r="P51" s="86">
        <v>227.5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328"/>
  <sheetViews>
    <sheetView workbookViewId="0" topLeftCell="A1">
      <selection activeCell="D47" sqref="D47"/>
    </sheetView>
  </sheetViews>
  <sheetFormatPr defaultColWidth="9.00390625" defaultRowHeight="12.75"/>
  <cols>
    <col min="2" max="2" width="11.00390625" style="0" customWidth="1"/>
    <col min="3" max="3" width="16.125" style="0" customWidth="1"/>
    <col min="4" max="4" width="48.75390625" style="0" customWidth="1"/>
    <col min="5" max="5" width="14.375" style="0" customWidth="1"/>
    <col min="6" max="6" width="16.00390625" style="0" customWidth="1"/>
    <col min="7" max="7" width="10.375" style="0" customWidth="1"/>
    <col min="9" max="9" width="3.75390625" style="0" customWidth="1"/>
    <col min="10" max="10" width="14.625" style="0" customWidth="1"/>
    <col min="11" max="11" width="18.375" style="0" bestFit="1" customWidth="1"/>
    <col min="13" max="13" width="16.00390625" style="0" customWidth="1"/>
    <col min="15" max="15" width="9.75390625" style="0" customWidth="1"/>
    <col min="17" max="17" width="24.25390625" style="0" customWidth="1"/>
    <col min="19" max="19" width="10.25390625" style="0" customWidth="1"/>
    <col min="20" max="20" width="13.00390625" style="0" customWidth="1"/>
  </cols>
  <sheetData>
    <row r="1" spans="3:5" ht="12.75">
      <c r="C1" s="133" t="s">
        <v>32</v>
      </c>
      <c r="D1" s="133"/>
      <c r="E1" s="133"/>
    </row>
    <row r="2" spans="2:6" ht="12.75">
      <c r="B2" s="131" t="s">
        <v>576</v>
      </c>
      <c r="C2" s="131"/>
      <c r="D2" s="131"/>
      <c r="E2" s="131"/>
      <c r="F2" s="131"/>
    </row>
    <row r="3" spans="2:6" ht="12.75">
      <c r="B3" s="6"/>
      <c r="C3" s="126" t="s">
        <v>99</v>
      </c>
      <c r="D3" s="126"/>
      <c r="E3" s="126"/>
      <c r="F3" s="6"/>
    </row>
    <row r="5" spans="2:13" ht="12.75">
      <c r="B5" s="1" t="s">
        <v>22</v>
      </c>
      <c r="C5" s="1" t="s">
        <v>21</v>
      </c>
      <c r="D5" s="1" t="s">
        <v>30</v>
      </c>
      <c r="E5" s="143" t="s">
        <v>31</v>
      </c>
      <c r="F5" s="143"/>
      <c r="G5" s="2" t="s">
        <v>28</v>
      </c>
      <c r="H5" s="46"/>
      <c r="J5" s="143" t="s">
        <v>1006</v>
      </c>
      <c r="K5" s="143"/>
      <c r="L5" s="2" t="s">
        <v>28</v>
      </c>
      <c r="M5" s="49"/>
    </row>
    <row r="6" spans="2:12" ht="12.75">
      <c r="B6" s="3">
        <v>40645</v>
      </c>
      <c r="C6" s="4">
        <v>1</v>
      </c>
      <c r="D6" s="1" t="s">
        <v>33</v>
      </c>
      <c r="E6" s="1"/>
      <c r="F6" s="1"/>
      <c r="G6" s="5"/>
      <c r="J6" s="1"/>
      <c r="K6" s="1"/>
      <c r="L6" s="5"/>
    </row>
    <row r="7" spans="2:12" ht="12.75">
      <c r="B7" s="3">
        <v>40645</v>
      </c>
      <c r="C7" s="4">
        <v>2</v>
      </c>
      <c r="D7" s="1" t="s">
        <v>34</v>
      </c>
      <c r="E7" s="1"/>
      <c r="F7" s="1"/>
      <c r="G7" s="5"/>
      <c r="J7" s="1"/>
      <c r="K7" s="1"/>
      <c r="L7" s="5"/>
    </row>
    <row r="8" spans="2:12" ht="12.75">
      <c r="B8" s="3">
        <v>40645</v>
      </c>
      <c r="C8" s="4">
        <v>3</v>
      </c>
      <c r="D8" s="1" t="s">
        <v>35</v>
      </c>
      <c r="E8" s="1"/>
      <c r="F8" s="1"/>
      <c r="G8" s="5"/>
      <c r="J8" s="1"/>
      <c r="K8" s="1"/>
      <c r="L8" s="5"/>
    </row>
    <row r="9" spans="2:18" ht="12.75">
      <c r="B9" s="3">
        <v>40645</v>
      </c>
      <c r="C9" s="4">
        <v>4</v>
      </c>
      <c r="D9" s="1" t="s">
        <v>36</v>
      </c>
      <c r="E9" s="1"/>
      <c r="F9" s="1"/>
      <c r="G9" s="5"/>
      <c r="J9" s="1"/>
      <c r="K9" s="1"/>
      <c r="L9" s="5"/>
      <c r="M9" s="52"/>
      <c r="N9" s="1"/>
      <c r="O9" s="5"/>
      <c r="P9" s="1"/>
      <c r="Q9" s="1"/>
      <c r="R9" s="5"/>
    </row>
    <row r="10" spans="2:15" ht="12.75">
      <c r="B10" s="3">
        <v>40645</v>
      </c>
      <c r="C10" s="4">
        <v>5</v>
      </c>
      <c r="D10" s="1" t="s">
        <v>37</v>
      </c>
      <c r="E10" s="1"/>
      <c r="F10" s="1"/>
      <c r="G10" s="5"/>
      <c r="J10" s="1"/>
      <c r="K10" s="1"/>
      <c r="L10" s="5"/>
      <c r="M10" s="52"/>
      <c r="N10" s="1"/>
      <c r="O10" s="5"/>
    </row>
    <row r="11" spans="2:12" ht="12.75">
      <c r="B11" s="3">
        <v>40645</v>
      </c>
      <c r="C11" s="4">
        <v>6</v>
      </c>
      <c r="D11" s="1" t="s">
        <v>38</v>
      </c>
      <c r="E11" s="1"/>
      <c r="F11" s="1"/>
      <c r="G11" s="5"/>
      <c r="J11" s="1"/>
      <c r="K11" s="1"/>
      <c r="L11" s="5"/>
    </row>
    <row r="12" spans="2:12" ht="12.75">
      <c r="B12" s="3">
        <v>40645</v>
      </c>
      <c r="C12" s="4">
        <v>7</v>
      </c>
      <c r="D12" s="1" t="s">
        <v>39</v>
      </c>
      <c r="E12" s="1"/>
      <c r="F12" s="1"/>
      <c r="G12" s="5"/>
      <c r="J12" s="1"/>
      <c r="K12" s="1"/>
      <c r="L12" s="5"/>
    </row>
    <row r="13" spans="2:12" ht="12.75">
      <c r="B13" s="3">
        <v>40645</v>
      </c>
      <c r="C13" s="4">
        <v>8</v>
      </c>
      <c r="D13" s="1" t="s">
        <v>40</v>
      </c>
      <c r="E13" s="1"/>
      <c r="F13" s="1"/>
      <c r="G13" s="5"/>
      <c r="J13" s="1"/>
      <c r="K13" s="1"/>
      <c r="L13" s="5"/>
    </row>
    <row r="14" spans="2:12" ht="12.75">
      <c r="B14" s="3">
        <v>40645</v>
      </c>
      <c r="C14" s="4">
        <v>9</v>
      </c>
      <c r="D14" s="1" t="s">
        <v>41</v>
      </c>
      <c r="E14" s="1"/>
      <c r="F14" s="1"/>
      <c r="G14" s="5"/>
      <c r="J14" s="1"/>
      <c r="K14" s="1"/>
      <c r="L14" s="5"/>
    </row>
    <row r="15" spans="2:12" ht="12.75">
      <c r="B15" s="3">
        <v>40645</v>
      </c>
      <c r="C15" s="4">
        <v>10</v>
      </c>
      <c r="D15" s="1" t="s">
        <v>42</v>
      </c>
      <c r="E15" s="1"/>
      <c r="F15" s="1"/>
      <c r="G15" s="5"/>
      <c r="J15" s="1"/>
      <c r="K15" s="1"/>
      <c r="L15" s="5"/>
    </row>
    <row r="16" spans="2:12" ht="12.75">
      <c r="B16" s="3">
        <v>40645</v>
      </c>
      <c r="C16" s="4">
        <v>11</v>
      </c>
      <c r="D16" s="1" t="s">
        <v>43</v>
      </c>
      <c r="E16" s="1"/>
      <c r="F16" s="1"/>
      <c r="G16" s="5"/>
      <c r="J16" s="1"/>
      <c r="K16" s="1"/>
      <c r="L16" s="5"/>
    </row>
    <row r="17" spans="2:12" ht="12.75">
      <c r="B17" s="3">
        <v>40645</v>
      </c>
      <c r="C17" s="4">
        <v>12</v>
      </c>
      <c r="D17" s="1" t="s">
        <v>44</v>
      </c>
      <c r="E17" s="1"/>
      <c r="F17" s="1"/>
      <c r="G17" s="5"/>
      <c r="J17" s="1"/>
      <c r="K17" s="1"/>
      <c r="L17" s="5"/>
    </row>
    <row r="19" spans="3:7" ht="12.75">
      <c r="C19" s="53" t="s">
        <v>3</v>
      </c>
      <c r="D19">
        <v>1</v>
      </c>
      <c r="E19" s="1"/>
      <c r="F19" s="1"/>
      <c r="G19" s="5"/>
    </row>
    <row r="20" spans="4:7" ht="12.75">
      <c r="D20">
        <v>2</v>
      </c>
      <c r="E20" s="1"/>
      <c r="F20" s="1"/>
      <c r="G20" s="5"/>
    </row>
    <row r="21" spans="4:7" ht="12.75">
      <c r="D21">
        <v>3</v>
      </c>
      <c r="E21" s="1"/>
      <c r="F21" s="1"/>
      <c r="G21" s="5"/>
    </row>
    <row r="22" spans="4:7" ht="12.75">
      <c r="D22">
        <v>4</v>
      </c>
      <c r="E22" s="1"/>
      <c r="F22" s="1"/>
      <c r="G22" s="5"/>
    </row>
    <row r="23" spans="4:7" ht="12.75">
      <c r="D23">
        <v>5</v>
      </c>
      <c r="E23" s="1"/>
      <c r="F23" s="1"/>
      <c r="G23" s="5"/>
    </row>
    <row r="24" spans="13:17" ht="12.75">
      <c r="M24" s="144"/>
      <c r="Q24" s="40"/>
    </row>
    <row r="25" spans="2:20" ht="12.75">
      <c r="B25" s="133" t="s">
        <v>919</v>
      </c>
      <c r="C25" s="133"/>
      <c r="D25" s="133"/>
      <c r="E25" s="133"/>
      <c r="F25" t="s">
        <v>939</v>
      </c>
      <c r="I25" s="135"/>
      <c r="J25" s="135"/>
      <c r="K25" s="135"/>
      <c r="L25" s="135"/>
      <c r="M25" s="145"/>
      <c r="O25" s="1" t="s">
        <v>941</v>
      </c>
      <c r="P25" s="1"/>
      <c r="Q25" s="36"/>
      <c r="R25" s="1"/>
      <c r="S25" s="1"/>
      <c r="T25" s="2"/>
    </row>
    <row r="26" spans="2:20" ht="24.75" customHeight="1">
      <c r="B26" s="1">
        <v>1</v>
      </c>
      <c r="C26" s="4" t="s">
        <v>922</v>
      </c>
      <c r="D26" s="4" t="s">
        <v>920</v>
      </c>
      <c r="E26" s="1" t="s">
        <v>29</v>
      </c>
      <c r="I26" s="35"/>
      <c r="J26" s="35"/>
      <c r="K26" s="35"/>
      <c r="L26" s="35"/>
      <c r="M26" s="50"/>
      <c r="O26" s="1">
        <v>1</v>
      </c>
      <c r="P26" s="1"/>
      <c r="Q26" s="1"/>
      <c r="R26" s="4"/>
      <c r="S26" s="1"/>
      <c r="T26" s="140"/>
    </row>
    <row r="27" spans="2:20" ht="12.75">
      <c r="B27" s="1">
        <v>2</v>
      </c>
      <c r="C27" s="4" t="s">
        <v>923</v>
      </c>
      <c r="D27" s="4" t="s">
        <v>920</v>
      </c>
      <c r="E27" s="34" t="s">
        <v>29</v>
      </c>
      <c r="F27" s="17"/>
      <c r="I27" s="1"/>
      <c r="J27" s="4"/>
      <c r="K27" s="4"/>
      <c r="L27" s="5"/>
      <c r="M27" s="1"/>
      <c r="O27" s="1">
        <v>2</v>
      </c>
      <c r="P27" s="1"/>
      <c r="Q27" s="1"/>
      <c r="R27" s="4"/>
      <c r="S27" s="1"/>
      <c r="T27" s="141"/>
    </row>
    <row r="28" spans="2:20" ht="12.75">
      <c r="B28" s="1">
        <v>3</v>
      </c>
      <c r="C28" s="4" t="s">
        <v>924</v>
      </c>
      <c r="D28" s="4" t="s">
        <v>920</v>
      </c>
      <c r="E28" s="34"/>
      <c r="F28" s="17"/>
      <c r="I28" s="1"/>
      <c r="J28" s="4"/>
      <c r="K28" s="4"/>
      <c r="L28" s="5"/>
      <c r="M28" s="1"/>
      <c r="O28" s="1">
        <v>3</v>
      </c>
      <c r="P28" s="1"/>
      <c r="Q28" s="1"/>
      <c r="R28" s="4"/>
      <c r="S28" s="34"/>
      <c r="T28" s="141"/>
    </row>
    <row r="29" spans="2:20" ht="12.75">
      <c r="B29" s="1">
        <v>4</v>
      </c>
      <c r="C29" s="4" t="s">
        <v>213</v>
      </c>
      <c r="D29" s="4" t="s">
        <v>920</v>
      </c>
      <c r="E29" s="34"/>
      <c r="F29" s="17"/>
      <c r="I29" s="1"/>
      <c r="J29" s="4"/>
      <c r="K29" s="4"/>
      <c r="L29" s="5"/>
      <c r="M29" s="1"/>
      <c r="O29" s="1">
        <v>4</v>
      </c>
      <c r="P29" s="1"/>
      <c r="Q29" s="1"/>
      <c r="R29" s="4"/>
      <c r="S29" s="34"/>
      <c r="T29" s="141"/>
    </row>
    <row r="30" spans="2:20" ht="12.75">
      <c r="B30" s="1">
        <v>5</v>
      </c>
      <c r="C30" s="4" t="s">
        <v>925</v>
      </c>
      <c r="D30" s="4" t="s">
        <v>920</v>
      </c>
      <c r="E30" s="1"/>
      <c r="I30" s="1"/>
      <c r="J30" s="4"/>
      <c r="K30" s="4"/>
      <c r="L30" s="5"/>
      <c r="M30" s="1"/>
      <c r="O30" s="1">
        <v>5</v>
      </c>
      <c r="P30" s="1"/>
      <c r="Q30" s="1"/>
      <c r="R30" s="4"/>
      <c r="S30" s="1"/>
      <c r="T30" s="141"/>
    </row>
    <row r="31" spans="2:20" ht="12.75">
      <c r="B31" s="1">
        <v>6</v>
      </c>
      <c r="C31" s="4" t="s">
        <v>426</v>
      </c>
      <c r="D31" s="4" t="s">
        <v>920</v>
      </c>
      <c r="E31" s="1"/>
      <c r="I31" s="1"/>
      <c r="J31" s="4"/>
      <c r="K31" s="4"/>
      <c r="L31" s="5"/>
      <c r="M31" s="1"/>
      <c r="O31" s="1">
        <v>6</v>
      </c>
      <c r="P31" s="1"/>
      <c r="Q31" s="1"/>
      <c r="R31" s="4"/>
      <c r="S31" s="1"/>
      <c r="T31" s="141"/>
    </row>
    <row r="32" spans="2:20" ht="12.75">
      <c r="B32" s="1">
        <v>7</v>
      </c>
      <c r="C32" s="4" t="s">
        <v>530</v>
      </c>
      <c r="D32" s="4" t="s">
        <v>920</v>
      </c>
      <c r="E32" s="34"/>
      <c r="F32" s="17"/>
      <c r="I32" s="1"/>
      <c r="J32" s="4"/>
      <c r="K32" s="4"/>
      <c r="L32" s="5"/>
      <c r="M32" s="1"/>
      <c r="O32" s="1">
        <v>7</v>
      </c>
      <c r="P32" s="1"/>
      <c r="Q32" s="1"/>
      <c r="R32" s="4"/>
      <c r="S32" s="34"/>
      <c r="T32" s="141"/>
    </row>
    <row r="33" spans="2:20" ht="12.75">
      <c r="B33" s="1">
        <v>8</v>
      </c>
      <c r="C33" s="4" t="s">
        <v>926</v>
      </c>
      <c r="D33" s="4" t="s">
        <v>920</v>
      </c>
      <c r="E33" s="34"/>
      <c r="F33" s="23"/>
      <c r="I33" s="1"/>
      <c r="J33" s="4"/>
      <c r="K33" s="4"/>
      <c r="L33" s="5"/>
      <c r="M33" s="1"/>
      <c r="O33" s="1">
        <v>8</v>
      </c>
      <c r="P33" s="1"/>
      <c r="Q33" s="1"/>
      <c r="R33" s="4"/>
      <c r="S33" s="34"/>
      <c r="T33" s="142"/>
    </row>
    <row r="34" spans="2:20" ht="12.75">
      <c r="B34" s="1">
        <v>9</v>
      </c>
      <c r="C34" s="4" t="s">
        <v>315</v>
      </c>
      <c r="D34" s="4" t="s">
        <v>920</v>
      </c>
      <c r="E34" s="34"/>
      <c r="F34" s="23"/>
      <c r="I34" s="1"/>
      <c r="J34" s="4"/>
      <c r="K34" s="4"/>
      <c r="L34" s="5"/>
      <c r="M34" s="1"/>
      <c r="O34" s="37" t="s">
        <v>907</v>
      </c>
      <c r="P34" s="37"/>
      <c r="Q34" s="38"/>
      <c r="R34" s="39"/>
      <c r="S34" s="1"/>
      <c r="T34" s="1"/>
    </row>
    <row r="35" spans="2:20" ht="12.75">
      <c r="B35" s="1">
        <v>10</v>
      </c>
      <c r="C35" s="4" t="s">
        <v>274</v>
      </c>
      <c r="D35" s="4" t="s">
        <v>920</v>
      </c>
      <c r="E35" s="34"/>
      <c r="F35" s="23"/>
      <c r="O35" s="1" t="s">
        <v>941</v>
      </c>
      <c r="P35" s="1"/>
      <c r="Q35" s="36"/>
      <c r="R35" s="1"/>
      <c r="S35" s="1"/>
      <c r="T35" s="2"/>
    </row>
    <row r="36" spans="2:20" ht="12.75">
      <c r="B36" s="1">
        <v>11</v>
      </c>
      <c r="C36" s="4" t="s">
        <v>927</v>
      </c>
      <c r="D36" s="4" t="s">
        <v>920</v>
      </c>
      <c r="E36" s="1"/>
      <c r="I36" s="135"/>
      <c r="J36" s="135"/>
      <c r="K36" s="135"/>
      <c r="L36" s="135"/>
      <c r="M36" s="42"/>
      <c r="O36" s="1">
        <v>1</v>
      </c>
      <c r="P36" s="1"/>
      <c r="Q36" s="1"/>
      <c r="R36" s="4"/>
      <c r="S36" s="1"/>
      <c r="T36" s="140"/>
    </row>
    <row r="37" spans="2:20" ht="12.75">
      <c r="B37" s="1">
        <v>12</v>
      </c>
      <c r="C37" s="4" t="s">
        <v>372</v>
      </c>
      <c r="D37" s="4" t="s">
        <v>920</v>
      </c>
      <c r="E37" s="34"/>
      <c r="I37" s="35"/>
      <c r="J37" s="35"/>
      <c r="K37" s="35"/>
      <c r="L37" s="35"/>
      <c r="M37" s="51"/>
      <c r="O37" s="1">
        <v>2</v>
      </c>
      <c r="P37" s="1"/>
      <c r="Q37" s="1"/>
      <c r="R37" s="4"/>
      <c r="S37" s="1"/>
      <c r="T37" s="141"/>
    </row>
    <row r="38" spans="2:20" ht="12.75">
      <c r="B38" s="1">
        <v>13</v>
      </c>
      <c r="C38" s="4" t="s">
        <v>928</v>
      </c>
      <c r="D38" s="4" t="s">
        <v>921</v>
      </c>
      <c r="E38" s="34"/>
      <c r="I38" s="1"/>
      <c r="J38" s="4"/>
      <c r="K38" s="4"/>
      <c r="L38" s="5"/>
      <c r="M38" s="1"/>
      <c r="O38" s="1">
        <v>3</v>
      </c>
      <c r="P38" s="1"/>
      <c r="Q38" s="1"/>
      <c r="R38" s="4"/>
      <c r="S38" s="34"/>
      <c r="T38" s="141"/>
    </row>
    <row r="39" spans="2:20" ht="12.75">
      <c r="B39" s="1">
        <v>14</v>
      </c>
      <c r="C39" s="4" t="s">
        <v>929</v>
      </c>
      <c r="D39" s="4" t="s">
        <v>921</v>
      </c>
      <c r="E39" s="34"/>
      <c r="I39" s="1"/>
      <c r="J39" s="4"/>
      <c r="K39" s="4"/>
      <c r="L39" s="5"/>
      <c r="M39" s="1"/>
      <c r="O39" s="1">
        <v>4</v>
      </c>
      <c r="P39" s="1"/>
      <c r="Q39" s="1"/>
      <c r="R39" s="4"/>
      <c r="S39" s="34"/>
      <c r="T39" s="141"/>
    </row>
    <row r="40" spans="2:20" ht="12.75">
      <c r="B40" s="1">
        <v>15</v>
      </c>
      <c r="C40" s="4" t="s">
        <v>930</v>
      </c>
      <c r="D40" s="4" t="s">
        <v>921</v>
      </c>
      <c r="E40" s="34"/>
      <c r="I40" s="1"/>
      <c r="J40" s="4"/>
      <c r="K40" s="4"/>
      <c r="L40" s="5"/>
      <c r="M40" s="1"/>
      <c r="O40" s="1">
        <v>5</v>
      </c>
      <c r="P40" s="1"/>
      <c r="Q40" s="1"/>
      <c r="R40" s="4"/>
      <c r="S40" s="1"/>
      <c r="T40" s="141"/>
    </row>
    <row r="41" spans="2:20" ht="12.75">
      <c r="B41" s="1">
        <v>16</v>
      </c>
      <c r="C41" s="4" t="s">
        <v>371</v>
      </c>
      <c r="D41" s="4" t="s">
        <v>921</v>
      </c>
      <c r="E41" s="11"/>
      <c r="I41" s="1"/>
      <c r="J41" s="4"/>
      <c r="K41" s="4"/>
      <c r="L41" s="5"/>
      <c r="M41" s="1"/>
      <c r="O41" s="1">
        <v>7</v>
      </c>
      <c r="P41" s="1"/>
      <c r="Q41" s="1"/>
      <c r="R41" s="4"/>
      <c r="S41" s="34"/>
      <c r="T41" s="141"/>
    </row>
    <row r="42" spans="2:20" ht="12.75">
      <c r="B42" s="1">
        <v>17</v>
      </c>
      <c r="C42" s="4" t="s">
        <v>362</v>
      </c>
      <c r="D42" s="4" t="s">
        <v>921</v>
      </c>
      <c r="E42" s="11"/>
      <c r="I42" s="1"/>
      <c r="J42" s="4"/>
      <c r="K42" s="4"/>
      <c r="L42" s="5"/>
      <c r="M42" s="1"/>
      <c r="O42" s="1">
        <v>8</v>
      </c>
      <c r="P42" s="1"/>
      <c r="Q42" s="1"/>
      <c r="R42" s="4"/>
      <c r="S42" s="34"/>
      <c r="T42" s="142"/>
    </row>
    <row r="43" spans="2:20" ht="12.75">
      <c r="B43" s="1">
        <v>18</v>
      </c>
      <c r="C43" s="4" t="s">
        <v>339</v>
      </c>
      <c r="D43" s="4" t="s">
        <v>921</v>
      </c>
      <c r="E43" s="11"/>
      <c r="I43" s="1"/>
      <c r="J43" s="4"/>
      <c r="K43" s="4"/>
      <c r="L43" s="5"/>
      <c r="M43" s="1"/>
      <c r="O43" s="37" t="s">
        <v>907</v>
      </c>
      <c r="P43" s="37"/>
      <c r="Q43" s="38"/>
      <c r="R43" s="39"/>
      <c r="S43" s="1"/>
      <c r="T43" s="1"/>
    </row>
    <row r="44" spans="2:20" ht="12.75">
      <c r="B44" s="1">
        <v>19</v>
      </c>
      <c r="C44" s="4" t="s">
        <v>931</v>
      </c>
      <c r="D44" s="4" t="s">
        <v>921</v>
      </c>
      <c r="E44" s="11"/>
      <c r="I44" s="1"/>
      <c r="J44" s="4"/>
      <c r="K44" s="4"/>
      <c r="L44" s="5"/>
      <c r="M44" s="1"/>
      <c r="O44" s="1" t="s">
        <v>941</v>
      </c>
      <c r="P44" s="1"/>
      <c r="Q44" s="36"/>
      <c r="R44" s="1"/>
      <c r="S44" s="1"/>
      <c r="T44" s="2"/>
    </row>
    <row r="45" spans="2:20" ht="12.75">
      <c r="B45" s="1">
        <v>20</v>
      </c>
      <c r="C45" s="4" t="s">
        <v>932</v>
      </c>
      <c r="D45" s="4" t="s">
        <v>921</v>
      </c>
      <c r="E45" s="11"/>
      <c r="I45" s="135"/>
      <c r="J45" s="135"/>
      <c r="K45" s="135"/>
      <c r="L45" s="135"/>
      <c r="M45" s="42"/>
      <c r="O45" s="1">
        <v>2</v>
      </c>
      <c r="P45" s="1"/>
      <c r="Q45" s="1"/>
      <c r="R45" s="4"/>
      <c r="S45" s="1"/>
      <c r="T45" s="141"/>
    </row>
    <row r="46" spans="2:20" ht="12.75">
      <c r="B46" s="1">
        <v>21</v>
      </c>
      <c r="C46" s="4" t="s">
        <v>933</v>
      </c>
      <c r="D46" s="4" t="s">
        <v>921</v>
      </c>
      <c r="E46" s="11"/>
      <c r="I46" s="35"/>
      <c r="J46" s="35"/>
      <c r="K46" s="35"/>
      <c r="L46" s="35"/>
      <c r="M46" s="51"/>
      <c r="O46" s="1">
        <v>3</v>
      </c>
      <c r="P46" s="1"/>
      <c r="Q46" s="1"/>
      <c r="R46" s="4"/>
      <c r="S46" s="34"/>
      <c r="T46" s="141"/>
    </row>
    <row r="47" spans="2:20" ht="12.75">
      <c r="B47" s="1">
        <v>22</v>
      </c>
      <c r="C47" s="4" t="s">
        <v>934</v>
      </c>
      <c r="D47" s="4" t="s">
        <v>921</v>
      </c>
      <c r="E47" s="9"/>
      <c r="I47" s="1"/>
      <c r="J47" s="4"/>
      <c r="K47" s="4"/>
      <c r="L47" s="5"/>
      <c r="M47" s="1"/>
      <c r="O47" s="1">
        <v>4</v>
      </c>
      <c r="P47" s="1"/>
      <c r="Q47" s="1"/>
      <c r="R47" s="4"/>
      <c r="S47" s="34"/>
      <c r="T47" s="141"/>
    </row>
    <row r="48" spans="2:20" ht="12.75">
      <c r="B48" s="1">
        <v>23</v>
      </c>
      <c r="C48" s="4" t="s">
        <v>935</v>
      </c>
      <c r="D48" s="4" t="s">
        <v>921</v>
      </c>
      <c r="E48" s="11"/>
      <c r="I48" s="1"/>
      <c r="J48" s="4"/>
      <c r="K48" s="4"/>
      <c r="L48" s="5"/>
      <c r="M48" s="1"/>
      <c r="O48" s="1">
        <v>5</v>
      </c>
      <c r="P48" s="1"/>
      <c r="Q48" s="1"/>
      <c r="R48" s="4"/>
      <c r="S48" s="1"/>
      <c r="T48" s="141"/>
    </row>
    <row r="49" spans="2:20" ht="12.75">
      <c r="B49" s="1">
        <v>24</v>
      </c>
      <c r="C49" s="4" t="s">
        <v>185</v>
      </c>
      <c r="D49" s="4" t="s">
        <v>921</v>
      </c>
      <c r="E49" s="11"/>
      <c r="I49" s="1"/>
      <c r="J49" s="4"/>
      <c r="K49" s="4"/>
      <c r="L49" s="5"/>
      <c r="M49" s="1"/>
      <c r="O49" s="1">
        <v>6</v>
      </c>
      <c r="P49" s="1"/>
      <c r="Q49" s="1"/>
      <c r="R49" s="4"/>
      <c r="S49" s="1"/>
      <c r="T49" s="141"/>
    </row>
    <row r="50" spans="2:20" ht="12.75">
      <c r="B50" s="1">
        <v>25</v>
      </c>
      <c r="C50" s="4" t="s">
        <v>936</v>
      </c>
      <c r="D50" s="4" t="s">
        <v>921</v>
      </c>
      <c r="E50" s="11"/>
      <c r="I50" s="1"/>
      <c r="J50" s="4"/>
      <c r="K50" s="4"/>
      <c r="L50" s="5"/>
      <c r="M50" s="1"/>
      <c r="O50" s="1">
        <v>7</v>
      </c>
      <c r="P50" s="1"/>
      <c r="Q50" s="1"/>
      <c r="R50" s="4"/>
      <c r="S50" s="34"/>
      <c r="T50" s="141"/>
    </row>
    <row r="51" spans="2:20" ht="12.75">
      <c r="B51" s="1">
        <v>26</v>
      </c>
      <c r="C51" s="4" t="s">
        <v>937</v>
      </c>
      <c r="D51" s="4" t="s">
        <v>921</v>
      </c>
      <c r="E51" s="11"/>
      <c r="I51" s="1"/>
      <c r="J51" s="4"/>
      <c r="K51" s="4"/>
      <c r="L51" s="5"/>
      <c r="M51" s="1"/>
      <c r="O51" s="1">
        <v>8</v>
      </c>
      <c r="P51" s="1"/>
      <c r="Q51" s="1"/>
      <c r="R51" s="4"/>
      <c r="S51" s="34"/>
      <c r="T51" s="142"/>
    </row>
    <row r="52" spans="2:20" ht="12.75">
      <c r="B52" s="1">
        <v>27</v>
      </c>
      <c r="C52" s="4" t="s">
        <v>573</v>
      </c>
      <c r="D52" s="4" t="s">
        <v>921</v>
      </c>
      <c r="E52" s="11"/>
      <c r="I52" s="1"/>
      <c r="J52" s="4"/>
      <c r="K52" s="4"/>
      <c r="L52" s="5"/>
      <c r="M52" s="1"/>
      <c r="O52" s="37" t="s">
        <v>907</v>
      </c>
      <c r="P52" s="37"/>
      <c r="Q52" s="38"/>
      <c r="R52" s="39"/>
      <c r="S52" s="1"/>
      <c r="T52" s="1"/>
    </row>
    <row r="53" spans="2:20" ht="12.75">
      <c r="B53" s="1">
        <v>28</v>
      </c>
      <c r="C53" s="4" t="s">
        <v>938</v>
      </c>
      <c r="D53" s="4" t="s">
        <v>921</v>
      </c>
      <c r="E53" s="11"/>
      <c r="I53" s="1"/>
      <c r="J53" s="4"/>
      <c r="K53" s="4"/>
      <c r="L53" s="5"/>
      <c r="M53" s="1"/>
      <c r="O53" s="1" t="s">
        <v>941</v>
      </c>
      <c r="P53" s="1"/>
      <c r="Q53" s="36"/>
      <c r="R53" s="1"/>
      <c r="S53" s="1"/>
      <c r="T53" s="2"/>
    </row>
    <row r="54" spans="9:20" ht="12.75">
      <c r="I54" s="1"/>
      <c r="J54" s="4"/>
      <c r="K54" s="4"/>
      <c r="L54" s="1"/>
      <c r="M54" s="29"/>
      <c r="O54" s="1">
        <v>1</v>
      </c>
      <c r="P54" s="1"/>
      <c r="Q54" s="1"/>
      <c r="R54" s="4"/>
      <c r="S54" s="1"/>
      <c r="T54" s="140"/>
    </row>
    <row r="55" spans="15:20" ht="12.75">
      <c r="O55" s="1">
        <v>2</v>
      </c>
      <c r="P55" s="1"/>
      <c r="Q55" s="1"/>
      <c r="R55" s="4"/>
      <c r="S55" s="1"/>
      <c r="T55" s="141"/>
    </row>
    <row r="56" spans="9:20" ht="12.75">
      <c r="I56" s="135"/>
      <c r="J56" s="135"/>
      <c r="K56" s="135"/>
      <c r="L56" s="135"/>
      <c r="M56" s="42"/>
      <c r="O56" s="1">
        <v>3</v>
      </c>
      <c r="P56" s="1"/>
      <c r="Q56" s="1"/>
      <c r="R56" s="4"/>
      <c r="S56" s="34"/>
      <c r="T56" s="141"/>
    </row>
    <row r="57" spans="9:20" ht="12.75">
      <c r="I57" s="35"/>
      <c r="J57" s="35"/>
      <c r="K57" s="35"/>
      <c r="L57" s="35"/>
      <c r="M57" s="51"/>
      <c r="O57" s="1">
        <v>4</v>
      </c>
      <c r="P57" s="1"/>
      <c r="Q57" s="1"/>
      <c r="R57" s="4"/>
      <c r="S57" s="34"/>
      <c r="T57" s="141"/>
    </row>
    <row r="58" spans="9:20" ht="12.75">
      <c r="I58" s="1"/>
      <c r="J58" s="4"/>
      <c r="K58" s="4"/>
      <c r="L58" s="5"/>
      <c r="M58" s="1"/>
      <c r="O58" s="1">
        <v>5</v>
      </c>
      <c r="P58" s="1"/>
      <c r="Q58" s="1"/>
      <c r="R58" s="4"/>
      <c r="S58" s="1"/>
      <c r="T58" s="141"/>
    </row>
    <row r="59" spans="9:20" ht="12.75">
      <c r="I59" s="1"/>
      <c r="J59" s="4"/>
      <c r="K59" s="4"/>
      <c r="L59" s="5"/>
      <c r="M59" s="1"/>
      <c r="O59" s="1">
        <v>6</v>
      </c>
      <c r="P59" s="1"/>
      <c r="Q59" s="1"/>
      <c r="R59" s="4"/>
      <c r="S59" s="1"/>
      <c r="T59" s="141"/>
    </row>
    <row r="60" spans="9:20" ht="12.75">
      <c r="I60" s="1"/>
      <c r="J60" s="4"/>
      <c r="K60" s="4"/>
      <c r="L60" s="5"/>
      <c r="M60" s="1"/>
      <c r="O60" s="1">
        <v>7</v>
      </c>
      <c r="P60" s="1"/>
      <c r="Q60" s="1"/>
      <c r="R60" s="4"/>
      <c r="S60" s="34"/>
      <c r="T60" s="141"/>
    </row>
    <row r="61" spans="9:20" ht="12.75">
      <c r="I61" s="1"/>
      <c r="J61" s="4"/>
      <c r="K61" s="4"/>
      <c r="L61" s="5"/>
      <c r="M61" s="1"/>
      <c r="O61" s="1">
        <v>8</v>
      </c>
      <c r="P61" s="1"/>
      <c r="Q61" s="1"/>
      <c r="R61" s="4"/>
      <c r="S61" s="34"/>
      <c r="T61" s="142"/>
    </row>
    <row r="62" spans="9:20" ht="12.75">
      <c r="I62" s="1"/>
      <c r="J62" s="4"/>
      <c r="K62" s="4"/>
      <c r="L62" s="5"/>
      <c r="M62" s="1"/>
      <c r="O62" s="37" t="s">
        <v>907</v>
      </c>
      <c r="P62" s="37"/>
      <c r="Q62" s="38"/>
      <c r="R62" s="39"/>
      <c r="S62" s="1"/>
      <c r="T62" s="1"/>
    </row>
    <row r="63" spans="9:20" ht="12.75">
      <c r="I63" s="1"/>
      <c r="J63" s="4"/>
      <c r="K63" s="4"/>
      <c r="L63" s="5"/>
      <c r="M63" s="1"/>
      <c r="O63" s="1" t="s">
        <v>941</v>
      </c>
      <c r="P63" s="1"/>
      <c r="Q63" s="36"/>
      <c r="R63" s="1"/>
      <c r="S63" s="1"/>
      <c r="T63" s="2"/>
    </row>
    <row r="64" spans="9:20" ht="12.75">
      <c r="I64" s="1"/>
      <c r="J64" s="4"/>
      <c r="K64" s="4"/>
      <c r="L64" s="5"/>
      <c r="M64" s="1"/>
      <c r="O64" s="1">
        <v>1</v>
      </c>
      <c r="P64" s="1"/>
      <c r="Q64" s="1"/>
      <c r="R64" s="4"/>
      <c r="S64" s="1"/>
      <c r="T64" s="140"/>
    </row>
    <row r="65" spans="9:20" ht="12.75">
      <c r="I65" s="1"/>
      <c r="J65" s="4"/>
      <c r="K65" s="4"/>
      <c r="L65" s="1"/>
      <c r="M65" s="29"/>
      <c r="O65" s="1">
        <v>2</v>
      </c>
      <c r="P65" s="1"/>
      <c r="Q65" s="1"/>
      <c r="R65" s="4"/>
      <c r="S65" s="1"/>
      <c r="T65" s="141"/>
    </row>
    <row r="66" spans="15:20" ht="12.75">
      <c r="O66" s="1">
        <v>3</v>
      </c>
      <c r="P66" s="1"/>
      <c r="Q66" s="1"/>
      <c r="R66" s="4"/>
      <c r="S66" s="34"/>
      <c r="T66" s="141"/>
    </row>
    <row r="67" spans="15:20" ht="12.75">
      <c r="O67" s="1">
        <v>4</v>
      </c>
      <c r="P67" s="1"/>
      <c r="Q67" s="1"/>
      <c r="R67" s="4"/>
      <c r="S67" s="34"/>
      <c r="T67" s="141"/>
    </row>
    <row r="68" spans="10:20" ht="12.75">
      <c r="J68" s="139"/>
      <c r="K68" s="139"/>
      <c r="L68" s="139"/>
      <c r="O68" s="1">
        <v>5</v>
      </c>
      <c r="P68" s="1"/>
      <c r="Q68" s="1"/>
      <c r="R68" s="4"/>
      <c r="S68" s="1"/>
      <c r="T68" s="141"/>
    </row>
    <row r="69" spans="10:20" ht="12.75">
      <c r="J69" s="4"/>
      <c r="K69" s="4"/>
      <c r="L69" s="5"/>
      <c r="O69" s="1">
        <v>6</v>
      </c>
      <c r="P69" s="1"/>
      <c r="Q69" s="1"/>
      <c r="R69" s="4"/>
      <c r="S69" s="1"/>
      <c r="T69" s="141"/>
    </row>
    <row r="70" spans="10:20" ht="12.75">
      <c r="J70" s="4"/>
      <c r="K70" s="4"/>
      <c r="L70" s="5"/>
      <c r="O70" s="1">
        <v>7</v>
      </c>
      <c r="P70" s="1"/>
      <c r="Q70" s="1"/>
      <c r="R70" s="4"/>
      <c r="S70" s="34"/>
      <c r="T70" s="141"/>
    </row>
    <row r="71" spans="10:20" ht="12.75">
      <c r="J71" s="4"/>
      <c r="K71" s="4"/>
      <c r="L71" s="5"/>
      <c r="O71" s="1">
        <v>8</v>
      </c>
      <c r="P71" s="1"/>
      <c r="Q71" s="1"/>
      <c r="R71" s="4"/>
      <c r="S71" s="34"/>
      <c r="T71" s="142"/>
    </row>
    <row r="72" spans="10:20" ht="12.75">
      <c r="J72" s="4"/>
      <c r="K72" s="4"/>
      <c r="L72" s="5"/>
      <c r="O72" s="37" t="s">
        <v>907</v>
      </c>
      <c r="P72" s="37"/>
      <c r="Q72" s="38"/>
      <c r="R72" s="39"/>
      <c r="S72" s="1"/>
      <c r="T72" s="1"/>
    </row>
    <row r="73" spans="10:20" ht="12.75">
      <c r="J73" s="4"/>
      <c r="K73" s="4"/>
      <c r="L73" s="5"/>
      <c r="O73" s="1" t="s">
        <v>941</v>
      </c>
      <c r="P73" s="1"/>
      <c r="Q73" s="36"/>
      <c r="R73" s="1"/>
      <c r="S73" s="1"/>
      <c r="T73" s="2"/>
    </row>
    <row r="74" spans="10:20" ht="12.75">
      <c r="J74" s="4"/>
      <c r="K74" s="4"/>
      <c r="L74" s="5"/>
      <c r="O74" s="1">
        <v>1</v>
      </c>
      <c r="P74" s="1"/>
      <c r="Q74" s="1"/>
      <c r="R74" s="4"/>
      <c r="S74" s="1"/>
      <c r="T74" s="140"/>
    </row>
    <row r="75" spans="10:20" ht="12.75">
      <c r="J75" s="4"/>
      <c r="K75" s="4"/>
      <c r="L75" s="5"/>
      <c r="O75" s="1">
        <v>2</v>
      </c>
      <c r="P75" s="1"/>
      <c r="Q75" s="1"/>
      <c r="R75" s="4"/>
      <c r="S75" s="1"/>
      <c r="T75" s="141"/>
    </row>
    <row r="76" spans="10:20" ht="12.75">
      <c r="J76" s="4"/>
      <c r="K76" s="4"/>
      <c r="L76" s="5"/>
      <c r="O76" s="1">
        <v>3</v>
      </c>
      <c r="P76" s="1"/>
      <c r="Q76" s="1"/>
      <c r="R76" s="4"/>
      <c r="S76" s="34"/>
      <c r="T76" s="141"/>
    </row>
    <row r="77" spans="10:20" ht="12.75">
      <c r="J77" s="4"/>
      <c r="K77" s="4"/>
      <c r="L77" s="5"/>
      <c r="O77" s="1">
        <v>4</v>
      </c>
      <c r="P77" s="1"/>
      <c r="Q77" s="1"/>
      <c r="R77" s="4"/>
      <c r="S77" s="34"/>
      <c r="T77" s="141"/>
    </row>
    <row r="78" spans="10:20" ht="12.75">
      <c r="J78" s="4"/>
      <c r="K78" s="4"/>
      <c r="L78" s="5"/>
      <c r="O78" s="1">
        <v>5</v>
      </c>
      <c r="P78" s="1"/>
      <c r="Q78" s="1"/>
      <c r="R78" s="4"/>
      <c r="S78" s="1"/>
      <c r="T78" s="141"/>
    </row>
    <row r="79" spans="10:20" ht="12.75">
      <c r="J79" s="4"/>
      <c r="K79" s="4"/>
      <c r="L79" s="5"/>
      <c r="O79" s="1">
        <v>6</v>
      </c>
      <c r="P79" s="1"/>
      <c r="Q79" s="1"/>
      <c r="R79" s="4"/>
      <c r="S79" s="1"/>
      <c r="T79" s="141"/>
    </row>
    <row r="80" spans="10:20" ht="12.75">
      <c r="J80" s="4"/>
      <c r="K80" s="4"/>
      <c r="L80" s="5"/>
      <c r="O80" s="1">
        <v>7</v>
      </c>
      <c r="P80" s="1"/>
      <c r="Q80" s="1"/>
      <c r="R80" s="4"/>
      <c r="S80" s="34"/>
      <c r="T80" s="141"/>
    </row>
    <row r="81" spans="10:20" ht="12.75">
      <c r="J81" s="4"/>
      <c r="K81" s="4"/>
      <c r="L81" s="5"/>
      <c r="O81" s="1">
        <v>8</v>
      </c>
      <c r="P81" s="1"/>
      <c r="Q81" s="1"/>
      <c r="R81" s="4"/>
      <c r="S81" s="34"/>
      <c r="T81" s="142"/>
    </row>
    <row r="82" spans="10:20" ht="12.75">
      <c r="J82" s="4"/>
      <c r="K82" s="4"/>
      <c r="L82" s="5"/>
      <c r="O82" s="37" t="s">
        <v>907</v>
      </c>
      <c r="P82" s="37"/>
      <c r="Q82" s="38"/>
      <c r="R82" s="39"/>
      <c r="S82" s="1"/>
      <c r="T82" s="1"/>
    </row>
    <row r="83" spans="10:20" ht="12.75">
      <c r="J83" s="4"/>
      <c r="K83" s="4"/>
      <c r="L83" s="5"/>
      <c r="O83" s="1" t="s">
        <v>941</v>
      </c>
      <c r="P83" s="1"/>
      <c r="Q83" s="36"/>
      <c r="R83" s="1"/>
      <c r="S83" s="1"/>
      <c r="T83" s="2"/>
    </row>
    <row r="84" spans="10:20" ht="12.75">
      <c r="J84" s="4"/>
      <c r="K84" s="4"/>
      <c r="L84" s="5"/>
      <c r="O84" s="1">
        <v>1</v>
      </c>
      <c r="P84" s="1"/>
      <c r="Q84" s="1"/>
      <c r="R84" s="4"/>
      <c r="S84" s="1"/>
      <c r="T84" s="140"/>
    </row>
    <row r="85" spans="10:20" ht="12.75">
      <c r="J85" s="4"/>
      <c r="K85" s="4"/>
      <c r="L85" s="5"/>
      <c r="O85" s="1">
        <v>2</v>
      </c>
      <c r="P85" s="1"/>
      <c r="Q85" s="1"/>
      <c r="R85" s="4"/>
      <c r="S85" s="1"/>
      <c r="T85" s="141"/>
    </row>
    <row r="86" spans="10:20" ht="12.75">
      <c r="J86" s="4"/>
      <c r="K86" s="4"/>
      <c r="L86" s="5"/>
      <c r="O86" s="1">
        <v>3</v>
      </c>
      <c r="P86" s="1"/>
      <c r="Q86" s="1"/>
      <c r="R86" s="4"/>
      <c r="S86" s="34"/>
      <c r="T86" s="141"/>
    </row>
    <row r="87" spans="10:20" ht="12.75">
      <c r="J87" s="4"/>
      <c r="K87" s="4"/>
      <c r="L87" s="5"/>
      <c r="O87" s="1">
        <v>4</v>
      </c>
      <c r="P87" s="1"/>
      <c r="Q87" s="1"/>
      <c r="R87" s="4"/>
      <c r="S87" s="34"/>
      <c r="T87" s="141"/>
    </row>
    <row r="88" spans="10:20" ht="12.75">
      <c r="J88" s="4"/>
      <c r="K88" s="4"/>
      <c r="L88" s="5"/>
      <c r="O88" s="1">
        <v>5</v>
      </c>
      <c r="P88" s="1"/>
      <c r="Q88" s="1"/>
      <c r="R88" s="4"/>
      <c r="S88" s="1"/>
      <c r="T88" s="141"/>
    </row>
    <row r="89" spans="10:20" ht="12.75">
      <c r="J89" s="4"/>
      <c r="K89" s="4"/>
      <c r="L89" s="5"/>
      <c r="O89" s="1">
        <v>6</v>
      </c>
      <c r="P89" s="1"/>
      <c r="Q89" s="1"/>
      <c r="R89" s="4"/>
      <c r="S89" s="1"/>
      <c r="T89" s="141"/>
    </row>
    <row r="90" spans="10:20" ht="12.75">
      <c r="J90" s="4"/>
      <c r="K90" s="4"/>
      <c r="L90" s="5"/>
      <c r="O90" s="1">
        <v>7</v>
      </c>
      <c r="P90" s="1"/>
      <c r="Q90" s="1"/>
      <c r="R90" s="4"/>
      <c r="S90" s="34"/>
      <c r="T90" s="141"/>
    </row>
    <row r="91" spans="10:20" ht="12.75">
      <c r="J91" s="4"/>
      <c r="K91" s="4"/>
      <c r="L91" s="5"/>
      <c r="O91" s="1">
        <v>8</v>
      </c>
      <c r="P91" s="1"/>
      <c r="Q91" s="1"/>
      <c r="R91" s="4"/>
      <c r="S91" s="34"/>
      <c r="T91" s="142"/>
    </row>
    <row r="92" spans="10:20" ht="12.75">
      <c r="J92" s="4"/>
      <c r="K92" s="4"/>
      <c r="L92" s="5"/>
      <c r="O92" s="37" t="s">
        <v>907</v>
      </c>
      <c r="P92" s="37"/>
      <c r="Q92" s="38"/>
      <c r="R92" s="39"/>
      <c r="S92" s="1"/>
      <c r="T92" s="1"/>
    </row>
    <row r="93" spans="10:20" ht="12.75">
      <c r="J93" s="4"/>
      <c r="K93" s="4"/>
      <c r="L93" s="5"/>
      <c r="O93" s="1" t="s">
        <v>941</v>
      </c>
      <c r="P93" s="1"/>
      <c r="Q93" s="36"/>
      <c r="R93" s="1"/>
      <c r="S93" s="1"/>
      <c r="T93" s="2"/>
    </row>
    <row r="94" spans="10:20" ht="12.75">
      <c r="J94" s="4"/>
      <c r="K94" s="4"/>
      <c r="L94" s="5"/>
      <c r="O94" s="1">
        <v>1</v>
      </c>
      <c r="P94" s="1"/>
      <c r="Q94" s="1"/>
      <c r="R94" s="4"/>
      <c r="S94" s="1"/>
      <c r="T94" s="140"/>
    </row>
    <row r="95" spans="10:20" ht="12.75">
      <c r="J95" s="4"/>
      <c r="K95" s="4"/>
      <c r="L95" s="5"/>
      <c r="O95" s="1">
        <v>2</v>
      </c>
      <c r="P95" s="1"/>
      <c r="Q95" s="1"/>
      <c r="R95" s="4"/>
      <c r="S95" s="1"/>
      <c r="T95" s="141"/>
    </row>
    <row r="96" spans="10:20" ht="12.75">
      <c r="J96" s="4"/>
      <c r="K96" s="4"/>
      <c r="L96" s="5"/>
      <c r="O96" s="1">
        <v>3</v>
      </c>
      <c r="P96" s="1"/>
      <c r="Q96" s="1"/>
      <c r="R96" s="4"/>
      <c r="S96" s="34"/>
      <c r="T96" s="141"/>
    </row>
    <row r="97" spans="10:20" ht="12.75">
      <c r="J97" s="4"/>
      <c r="K97" s="4"/>
      <c r="L97" s="5"/>
      <c r="O97" s="1">
        <v>4</v>
      </c>
      <c r="P97" s="1"/>
      <c r="Q97" s="1"/>
      <c r="R97" s="4"/>
      <c r="S97" s="34"/>
      <c r="T97" s="141"/>
    </row>
    <row r="98" spans="10:20" ht="12.75">
      <c r="J98" s="4"/>
      <c r="K98" s="4"/>
      <c r="L98" s="5"/>
      <c r="O98" s="1">
        <v>5</v>
      </c>
      <c r="P98" s="1"/>
      <c r="Q98" s="1"/>
      <c r="R98" s="4"/>
      <c r="S98" s="1"/>
      <c r="T98" s="141"/>
    </row>
    <row r="99" spans="15:20" ht="12.75">
      <c r="O99" s="1">
        <v>6</v>
      </c>
      <c r="P99" s="1"/>
      <c r="Q99" s="1"/>
      <c r="R99" s="4"/>
      <c r="S99" s="1"/>
      <c r="T99" s="141"/>
    </row>
    <row r="100" spans="15:20" ht="12.75">
      <c r="O100" s="1">
        <v>7</v>
      </c>
      <c r="P100" s="1"/>
      <c r="Q100" s="1"/>
      <c r="R100" s="4"/>
      <c r="S100" s="34"/>
      <c r="T100" s="141"/>
    </row>
    <row r="101" spans="15:20" ht="12.75">
      <c r="O101" s="1">
        <v>8</v>
      </c>
      <c r="P101" s="1"/>
      <c r="Q101" s="1"/>
      <c r="R101" s="4"/>
      <c r="S101" s="34"/>
      <c r="T101" s="142"/>
    </row>
    <row r="102" spans="15:20" ht="12.75">
      <c r="O102" s="37" t="s">
        <v>907</v>
      </c>
      <c r="P102" s="37"/>
      <c r="Q102" s="38"/>
      <c r="R102" s="39"/>
      <c r="S102" s="1"/>
      <c r="T102" s="1"/>
    </row>
    <row r="104" ht="12.75">
      <c r="Q104" s="40"/>
    </row>
    <row r="105" spans="15:20" ht="12.75">
      <c r="O105" s="1" t="s">
        <v>941</v>
      </c>
      <c r="P105" s="1"/>
      <c r="Q105" s="36"/>
      <c r="R105" s="1"/>
      <c r="S105" s="1"/>
      <c r="T105" s="2"/>
    </row>
    <row r="106" spans="15:20" ht="12.75">
      <c r="O106" s="1">
        <v>1</v>
      </c>
      <c r="P106" s="1"/>
      <c r="Q106" s="1"/>
      <c r="R106" s="4"/>
      <c r="S106" s="1"/>
      <c r="T106" s="140"/>
    </row>
    <row r="107" spans="15:20" ht="12.75">
      <c r="O107" s="1">
        <v>2</v>
      </c>
      <c r="P107" s="1"/>
      <c r="Q107" s="1"/>
      <c r="R107" s="4"/>
      <c r="S107" s="1"/>
      <c r="T107" s="141"/>
    </row>
    <row r="108" spans="15:20" ht="12.75">
      <c r="O108" s="1">
        <v>3</v>
      </c>
      <c r="P108" s="1"/>
      <c r="Q108" s="1"/>
      <c r="R108" s="4"/>
      <c r="S108" s="34"/>
      <c r="T108" s="141"/>
    </row>
    <row r="109" spans="15:20" ht="12.75">
      <c r="O109" s="1">
        <v>4</v>
      </c>
      <c r="P109" s="1"/>
      <c r="Q109" s="1"/>
      <c r="R109" s="4"/>
      <c r="S109" s="34"/>
      <c r="T109" s="141"/>
    </row>
    <row r="110" spans="15:20" ht="12.75">
      <c r="O110" s="1">
        <v>5</v>
      </c>
      <c r="P110" s="1"/>
      <c r="Q110" s="1"/>
      <c r="R110" s="4"/>
      <c r="S110" s="1"/>
      <c r="T110" s="141"/>
    </row>
    <row r="111" spans="15:20" ht="12.75">
      <c r="O111" s="1">
        <v>6</v>
      </c>
      <c r="P111" s="1"/>
      <c r="Q111" s="1"/>
      <c r="R111" s="4"/>
      <c r="S111" s="1"/>
      <c r="T111" s="141"/>
    </row>
    <row r="112" spans="15:20" ht="12.75">
      <c r="O112" s="1">
        <v>7</v>
      </c>
      <c r="P112" s="1"/>
      <c r="Q112" s="1"/>
      <c r="R112" s="4"/>
      <c r="S112" s="34"/>
      <c r="T112" s="141"/>
    </row>
    <row r="113" spans="15:20" ht="12.75">
      <c r="O113" s="1">
        <v>8</v>
      </c>
      <c r="P113" s="1"/>
      <c r="Q113" s="1"/>
      <c r="R113" s="4"/>
      <c r="S113" s="34"/>
      <c r="T113" s="142"/>
    </row>
    <row r="114" spans="15:20" ht="12.75">
      <c r="O114" s="37" t="s">
        <v>907</v>
      </c>
      <c r="P114" s="37"/>
      <c r="Q114" s="38"/>
      <c r="R114" s="39"/>
      <c r="S114" s="1"/>
      <c r="T114" s="1"/>
    </row>
    <row r="115" spans="15:20" ht="12.75">
      <c r="O115" s="1" t="s">
        <v>941</v>
      </c>
      <c r="P115" s="1"/>
      <c r="Q115" s="36"/>
      <c r="R115" s="1"/>
      <c r="S115" s="1"/>
      <c r="T115" s="2"/>
    </row>
    <row r="116" spans="15:20" ht="12.75">
      <c r="O116" s="1">
        <v>1</v>
      </c>
      <c r="P116" s="1"/>
      <c r="Q116" s="1"/>
      <c r="R116" s="4"/>
      <c r="S116" s="1"/>
      <c r="T116" s="140"/>
    </row>
    <row r="117" spans="15:20" ht="12.75">
      <c r="O117" s="1">
        <v>2</v>
      </c>
      <c r="P117" s="1"/>
      <c r="Q117" s="1"/>
      <c r="R117" s="4"/>
      <c r="S117" s="1"/>
      <c r="T117" s="141"/>
    </row>
    <row r="118" spans="15:20" ht="12.75">
      <c r="O118" s="1">
        <v>3</v>
      </c>
      <c r="P118" s="1"/>
      <c r="Q118" s="1"/>
      <c r="R118" s="4"/>
      <c r="S118" s="34"/>
      <c r="T118" s="141"/>
    </row>
    <row r="119" spans="15:20" ht="12.75">
      <c r="O119" s="1">
        <v>4</v>
      </c>
      <c r="P119" s="1"/>
      <c r="Q119" s="1"/>
      <c r="R119" s="4"/>
      <c r="S119" s="34"/>
      <c r="T119" s="141"/>
    </row>
    <row r="120" spans="15:20" ht="12.75">
      <c r="O120" s="1">
        <v>5</v>
      </c>
      <c r="P120" s="1"/>
      <c r="Q120" s="1"/>
      <c r="R120" s="4"/>
      <c r="S120" s="1"/>
      <c r="T120" s="141"/>
    </row>
    <row r="121" spans="15:20" ht="12.75">
      <c r="O121" s="1">
        <v>6</v>
      </c>
      <c r="P121" s="1"/>
      <c r="Q121" s="1"/>
      <c r="R121" s="4"/>
      <c r="S121" s="1"/>
      <c r="T121" s="141"/>
    </row>
    <row r="122" spans="15:20" ht="12.75">
      <c r="O122" s="1">
        <v>7</v>
      </c>
      <c r="P122" s="1"/>
      <c r="Q122" s="1"/>
      <c r="R122" s="4"/>
      <c r="S122" s="34"/>
      <c r="T122" s="141"/>
    </row>
    <row r="123" spans="15:20" ht="12.75">
      <c r="O123" s="1">
        <v>8</v>
      </c>
      <c r="P123" s="1"/>
      <c r="Q123" s="1"/>
      <c r="R123" s="4"/>
      <c r="S123" s="34"/>
      <c r="T123" s="142"/>
    </row>
    <row r="124" spans="15:20" ht="12.75">
      <c r="O124" s="37" t="s">
        <v>907</v>
      </c>
      <c r="P124" s="37"/>
      <c r="Q124" s="38"/>
      <c r="R124" s="39"/>
      <c r="S124" s="1"/>
      <c r="T124" s="1"/>
    </row>
    <row r="125" spans="15:20" ht="12.75">
      <c r="O125" s="1" t="s">
        <v>941</v>
      </c>
      <c r="P125" s="1"/>
      <c r="Q125" s="36"/>
      <c r="R125" s="1"/>
      <c r="S125" s="1"/>
      <c r="T125" s="2"/>
    </row>
    <row r="126" spans="15:20" ht="12.75">
      <c r="O126" s="1">
        <v>1</v>
      </c>
      <c r="P126" s="1"/>
      <c r="Q126" s="1"/>
      <c r="R126" s="4"/>
      <c r="S126" s="1"/>
      <c r="T126" s="140"/>
    </row>
    <row r="127" spans="15:20" ht="12.75">
      <c r="O127" s="1">
        <v>2</v>
      </c>
      <c r="P127" s="1"/>
      <c r="Q127" s="1"/>
      <c r="R127" s="4"/>
      <c r="S127" s="1"/>
      <c r="T127" s="141"/>
    </row>
    <row r="128" spans="15:20" ht="12.75">
      <c r="O128" s="1">
        <v>3</v>
      </c>
      <c r="P128" s="1"/>
      <c r="Q128" s="1"/>
      <c r="R128" s="4"/>
      <c r="S128" s="34"/>
      <c r="T128" s="141"/>
    </row>
    <row r="129" spans="15:20" ht="12.75">
      <c r="O129" s="1">
        <v>4</v>
      </c>
      <c r="P129" s="1"/>
      <c r="Q129" s="1"/>
      <c r="R129" s="4"/>
      <c r="S129" s="34"/>
      <c r="T129" s="141"/>
    </row>
    <row r="130" spans="15:20" ht="12.75">
      <c r="O130" s="1">
        <v>5</v>
      </c>
      <c r="P130" s="1"/>
      <c r="Q130" s="1"/>
      <c r="R130" s="4"/>
      <c r="S130" s="1"/>
      <c r="T130" s="141"/>
    </row>
    <row r="131" spans="15:20" ht="12.75">
      <c r="O131" s="1">
        <v>6</v>
      </c>
      <c r="P131" s="1"/>
      <c r="Q131" s="1"/>
      <c r="R131" s="4"/>
      <c r="S131" s="1"/>
      <c r="T131" s="141"/>
    </row>
    <row r="132" spans="15:20" ht="12.75">
      <c r="O132" s="1">
        <v>7</v>
      </c>
      <c r="P132" s="1"/>
      <c r="Q132" s="1"/>
      <c r="R132" s="4"/>
      <c r="S132" s="34"/>
      <c r="T132" s="141"/>
    </row>
    <row r="133" spans="15:20" ht="12.75">
      <c r="O133" s="1">
        <v>8</v>
      </c>
      <c r="P133" s="1"/>
      <c r="Q133" s="1"/>
      <c r="R133" s="4"/>
      <c r="S133" s="34"/>
      <c r="T133" s="142"/>
    </row>
    <row r="134" spans="15:20" ht="12.75">
      <c r="O134" s="37" t="s">
        <v>907</v>
      </c>
      <c r="P134" s="37"/>
      <c r="Q134" s="38"/>
      <c r="R134" s="39"/>
      <c r="S134" s="1"/>
      <c r="T134" s="1"/>
    </row>
    <row r="135" spans="15:20" ht="12.75">
      <c r="O135" s="1" t="s">
        <v>941</v>
      </c>
      <c r="P135" s="1"/>
      <c r="Q135" s="36"/>
      <c r="R135" s="1"/>
      <c r="S135" s="1"/>
      <c r="T135" s="2"/>
    </row>
    <row r="136" spans="15:20" ht="12.75">
      <c r="O136" s="1">
        <v>1</v>
      </c>
      <c r="P136" s="1"/>
      <c r="Q136" s="1"/>
      <c r="R136" s="4"/>
      <c r="S136" s="1"/>
      <c r="T136" s="140"/>
    </row>
    <row r="137" spans="15:20" ht="12.75">
      <c r="O137" s="1">
        <v>2</v>
      </c>
      <c r="P137" s="1"/>
      <c r="Q137" s="1"/>
      <c r="R137" s="4"/>
      <c r="S137" s="1"/>
      <c r="T137" s="141"/>
    </row>
    <row r="138" spans="15:20" ht="12.75">
      <c r="O138" s="1">
        <v>3</v>
      </c>
      <c r="P138" s="1"/>
      <c r="Q138" s="1"/>
      <c r="R138" s="4"/>
      <c r="S138" s="34"/>
      <c r="T138" s="141"/>
    </row>
    <row r="139" spans="15:20" ht="12.75">
      <c r="O139" s="1">
        <v>4</v>
      </c>
      <c r="P139" s="1"/>
      <c r="Q139" s="1"/>
      <c r="R139" s="4"/>
      <c r="S139" s="34"/>
      <c r="T139" s="141"/>
    </row>
    <row r="140" spans="15:20" ht="12.75">
      <c r="O140" s="1">
        <v>5</v>
      </c>
      <c r="P140" s="1"/>
      <c r="Q140" s="1"/>
      <c r="R140" s="4"/>
      <c r="S140" s="1"/>
      <c r="T140" s="141"/>
    </row>
    <row r="141" spans="15:20" ht="12.75">
      <c r="O141" s="1">
        <v>6</v>
      </c>
      <c r="P141" s="1"/>
      <c r="Q141" s="1"/>
      <c r="R141" s="4"/>
      <c r="S141" s="1"/>
      <c r="T141" s="141"/>
    </row>
    <row r="142" spans="15:20" ht="12.75">
      <c r="O142" s="1">
        <v>7</v>
      </c>
      <c r="P142" s="1"/>
      <c r="Q142" s="1"/>
      <c r="R142" s="4"/>
      <c r="S142" s="34"/>
      <c r="T142" s="141"/>
    </row>
    <row r="143" spans="15:20" ht="12.75">
      <c r="O143" s="1">
        <v>8</v>
      </c>
      <c r="P143" s="1"/>
      <c r="Q143" s="1"/>
      <c r="R143" s="4"/>
      <c r="S143" s="34"/>
      <c r="T143" s="142"/>
    </row>
    <row r="144" spans="15:20" ht="12.75">
      <c r="O144" s="37" t="s">
        <v>907</v>
      </c>
      <c r="P144" s="37"/>
      <c r="Q144" s="38"/>
      <c r="R144" s="39"/>
      <c r="S144" s="1"/>
      <c r="T144" s="1"/>
    </row>
    <row r="145" spans="15:20" ht="12.75">
      <c r="O145" s="1" t="s">
        <v>941</v>
      </c>
      <c r="P145" s="1"/>
      <c r="Q145" s="36"/>
      <c r="R145" s="1"/>
      <c r="S145" s="1"/>
      <c r="T145" s="2"/>
    </row>
    <row r="146" spans="15:20" ht="12.75">
      <c r="O146" s="1">
        <v>1</v>
      </c>
      <c r="P146" s="1"/>
      <c r="Q146" s="1"/>
      <c r="R146" s="4"/>
      <c r="S146" s="1"/>
      <c r="T146" s="140"/>
    </row>
    <row r="147" spans="15:20" ht="12.75">
      <c r="O147" s="1">
        <v>2</v>
      </c>
      <c r="P147" s="1"/>
      <c r="Q147" s="1"/>
      <c r="R147" s="4"/>
      <c r="S147" s="1"/>
      <c r="T147" s="141"/>
    </row>
    <row r="148" spans="15:20" ht="12.75">
      <c r="O148" s="1">
        <v>3</v>
      </c>
      <c r="P148" s="1"/>
      <c r="Q148" s="1"/>
      <c r="R148" s="4"/>
      <c r="S148" s="34"/>
      <c r="T148" s="141"/>
    </row>
    <row r="149" spans="15:20" ht="12.75">
      <c r="O149" s="1">
        <v>4</v>
      </c>
      <c r="P149" s="1"/>
      <c r="Q149" s="1"/>
      <c r="R149" s="4"/>
      <c r="S149" s="34"/>
      <c r="T149" s="141"/>
    </row>
    <row r="150" spans="15:20" ht="12.75">
      <c r="O150" s="1">
        <v>5</v>
      </c>
      <c r="P150" s="1"/>
      <c r="Q150" s="1"/>
      <c r="R150" s="4"/>
      <c r="S150" s="1"/>
      <c r="T150" s="141"/>
    </row>
    <row r="151" spans="15:20" ht="12.75">
      <c r="O151" s="1">
        <v>6</v>
      </c>
      <c r="P151" s="1"/>
      <c r="Q151" s="1"/>
      <c r="R151" s="4"/>
      <c r="S151" s="1"/>
      <c r="T151" s="141"/>
    </row>
    <row r="152" spans="15:20" ht="12.75">
      <c r="O152" s="1">
        <v>7</v>
      </c>
      <c r="P152" s="1"/>
      <c r="Q152" s="1"/>
      <c r="R152" s="4"/>
      <c r="S152" s="34"/>
      <c r="T152" s="141"/>
    </row>
    <row r="153" spans="15:20" ht="12.75">
      <c r="O153" s="1">
        <v>8</v>
      </c>
      <c r="P153" s="1"/>
      <c r="Q153" s="1"/>
      <c r="R153" s="4"/>
      <c r="S153" s="34"/>
      <c r="T153" s="142"/>
    </row>
    <row r="154" spans="15:20" ht="12.75">
      <c r="O154" s="37" t="s">
        <v>907</v>
      </c>
      <c r="P154" s="37"/>
      <c r="Q154" s="38"/>
      <c r="R154" s="39"/>
      <c r="S154" s="1"/>
      <c r="T154" s="1"/>
    </row>
    <row r="155" spans="15:20" ht="12.75">
      <c r="O155" s="1" t="s">
        <v>941</v>
      </c>
      <c r="P155" s="1"/>
      <c r="Q155" s="36"/>
      <c r="R155" s="1"/>
      <c r="S155" s="1"/>
      <c r="T155" s="2"/>
    </row>
    <row r="156" spans="15:20" ht="12.75">
      <c r="O156" s="1">
        <v>1</v>
      </c>
      <c r="P156" s="1"/>
      <c r="Q156" s="1"/>
      <c r="R156" s="4"/>
      <c r="S156" s="1"/>
      <c r="T156" s="140"/>
    </row>
    <row r="157" spans="15:20" ht="12.75">
      <c r="O157" s="1">
        <v>2</v>
      </c>
      <c r="P157" s="1"/>
      <c r="Q157" s="1"/>
      <c r="R157" s="4"/>
      <c r="S157" s="1"/>
      <c r="T157" s="141"/>
    </row>
    <row r="158" spans="15:20" ht="12.75">
      <c r="O158" s="1">
        <v>3</v>
      </c>
      <c r="P158" s="1"/>
      <c r="Q158" s="1"/>
      <c r="R158" s="4"/>
      <c r="S158" s="34"/>
      <c r="T158" s="141"/>
    </row>
    <row r="159" spans="15:20" ht="12.75">
      <c r="O159" s="1">
        <v>4</v>
      </c>
      <c r="P159" s="1"/>
      <c r="Q159" s="1"/>
      <c r="R159" s="4"/>
      <c r="S159" s="34"/>
      <c r="T159" s="141"/>
    </row>
    <row r="160" spans="15:20" ht="12.75">
      <c r="O160" s="1">
        <v>5</v>
      </c>
      <c r="P160" s="1"/>
      <c r="Q160" s="1"/>
      <c r="R160" s="4"/>
      <c r="S160" s="1"/>
      <c r="T160" s="141"/>
    </row>
    <row r="161" spans="15:20" ht="12.75">
      <c r="O161" s="1">
        <v>6</v>
      </c>
      <c r="P161" s="1"/>
      <c r="Q161" s="1"/>
      <c r="R161" s="4"/>
      <c r="S161" s="1"/>
      <c r="T161" s="141"/>
    </row>
    <row r="162" spans="15:20" ht="12.75">
      <c r="O162" s="1">
        <v>7</v>
      </c>
      <c r="P162" s="1"/>
      <c r="Q162" s="1"/>
      <c r="R162" s="4"/>
      <c r="S162" s="34"/>
      <c r="T162" s="141"/>
    </row>
    <row r="163" spans="15:20" ht="12.75">
      <c r="O163" s="1">
        <v>8</v>
      </c>
      <c r="P163" s="1"/>
      <c r="Q163" s="1"/>
      <c r="R163" s="4"/>
      <c r="S163" s="34"/>
      <c r="T163" s="142"/>
    </row>
    <row r="164" spans="15:20" ht="12.75">
      <c r="O164" s="37" t="s">
        <v>907</v>
      </c>
      <c r="P164" s="37"/>
      <c r="Q164" s="38"/>
      <c r="R164" s="39"/>
      <c r="S164" s="1"/>
      <c r="T164" s="1"/>
    </row>
    <row r="165" spans="15:20" ht="12.75">
      <c r="O165" s="1" t="s">
        <v>941</v>
      </c>
      <c r="P165" s="1"/>
      <c r="Q165" s="36"/>
      <c r="R165" s="1"/>
      <c r="S165" s="1"/>
      <c r="T165" s="2"/>
    </row>
    <row r="166" spans="15:20" ht="12.75">
      <c r="O166" s="1">
        <v>1</v>
      </c>
      <c r="P166" s="1"/>
      <c r="Q166" s="1"/>
      <c r="R166" s="4"/>
      <c r="S166" s="1"/>
      <c r="T166" s="140"/>
    </row>
    <row r="167" spans="15:20" ht="12.75">
      <c r="O167" s="1">
        <v>2</v>
      </c>
      <c r="P167" s="1"/>
      <c r="Q167" s="1"/>
      <c r="R167" s="4"/>
      <c r="S167" s="1"/>
      <c r="T167" s="141"/>
    </row>
    <row r="168" spans="15:20" ht="12.75">
      <c r="O168" s="1">
        <v>3</v>
      </c>
      <c r="P168" s="1"/>
      <c r="Q168" s="1"/>
      <c r="R168" s="4"/>
      <c r="S168" s="34"/>
      <c r="T168" s="141"/>
    </row>
    <row r="169" spans="15:20" ht="12.75">
      <c r="O169" s="1">
        <v>4</v>
      </c>
      <c r="P169" s="1"/>
      <c r="Q169" s="1"/>
      <c r="R169" s="4"/>
      <c r="S169" s="34"/>
      <c r="T169" s="141"/>
    </row>
    <row r="170" spans="15:20" ht="12.75">
      <c r="O170" s="1">
        <v>5</v>
      </c>
      <c r="P170" s="1"/>
      <c r="Q170" s="1"/>
      <c r="R170" s="4"/>
      <c r="S170" s="1"/>
      <c r="T170" s="141"/>
    </row>
    <row r="171" spans="15:20" ht="12.75">
      <c r="O171" s="1">
        <v>6</v>
      </c>
      <c r="P171" s="1"/>
      <c r="Q171" s="1"/>
      <c r="R171" s="4"/>
      <c r="S171" s="1"/>
      <c r="T171" s="141"/>
    </row>
    <row r="172" spans="15:20" ht="12.75">
      <c r="O172" s="1">
        <v>7</v>
      </c>
      <c r="P172" s="1"/>
      <c r="Q172" s="1"/>
      <c r="R172" s="4"/>
      <c r="S172" s="34"/>
      <c r="T172" s="141"/>
    </row>
    <row r="173" spans="15:20" ht="12.75">
      <c r="O173" s="1">
        <v>8</v>
      </c>
      <c r="P173" s="1"/>
      <c r="Q173" s="1"/>
      <c r="R173" s="4"/>
      <c r="S173" s="34"/>
      <c r="T173" s="142"/>
    </row>
    <row r="174" spans="15:20" ht="12.75">
      <c r="O174" s="37" t="s">
        <v>907</v>
      </c>
      <c r="P174" s="37"/>
      <c r="Q174" s="38"/>
      <c r="R174" s="39"/>
      <c r="S174" s="1"/>
      <c r="T174" s="1"/>
    </row>
    <row r="175" spans="15:20" ht="12.75">
      <c r="O175" s="1" t="s">
        <v>941</v>
      </c>
      <c r="P175" s="1"/>
      <c r="Q175" s="36"/>
      <c r="R175" s="1"/>
      <c r="S175" s="1"/>
      <c r="T175" s="2"/>
    </row>
    <row r="176" spans="15:20" ht="12.75">
      <c r="O176" s="1">
        <v>1</v>
      </c>
      <c r="P176" s="1"/>
      <c r="Q176" s="1"/>
      <c r="R176" s="4"/>
      <c r="S176" s="1"/>
      <c r="T176" s="140"/>
    </row>
    <row r="177" spans="15:20" ht="12.75">
      <c r="O177" s="1">
        <v>2</v>
      </c>
      <c r="P177" s="1"/>
      <c r="Q177" s="1"/>
      <c r="R177" s="4"/>
      <c r="S177" s="1"/>
      <c r="T177" s="141"/>
    </row>
    <row r="178" spans="15:20" ht="12.75">
      <c r="O178" s="1">
        <v>3</v>
      </c>
      <c r="P178" s="1"/>
      <c r="Q178" s="1"/>
      <c r="R178" s="4"/>
      <c r="S178" s="34"/>
      <c r="T178" s="141"/>
    </row>
    <row r="179" spans="15:20" ht="12.75">
      <c r="O179" s="1">
        <v>4</v>
      </c>
      <c r="P179" s="1"/>
      <c r="Q179" s="1"/>
      <c r="R179" s="4"/>
      <c r="S179" s="34"/>
      <c r="T179" s="141"/>
    </row>
    <row r="180" spans="15:20" ht="12.75">
      <c r="O180" s="1">
        <v>5</v>
      </c>
      <c r="P180" s="1"/>
      <c r="Q180" s="1"/>
      <c r="R180" s="4"/>
      <c r="S180" s="1"/>
      <c r="T180" s="141"/>
    </row>
    <row r="181" spans="15:20" ht="12.75">
      <c r="O181" s="1">
        <v>6</v>
      </c>
      <c r="P181" s="1"/>
      <c r="Q181" s="1"/>
      <c r="R181" s="4"/>
      <c r="S181" s="1"/>
      <c r="T181" s="141"/>
    </row>
    <row r="182" spans="15:20" ht="12.75">
      <c r="O182" s="1">
        <v>7</v>
      </c>
      <c r="P182" s="1"/>
      <c r="Q182" s="1"/>
      <c r="R182" s="4"/>
      <c r="S182" s="34"/>
      <c r="T182" s="141"/>
    </row>
    <row r="183" spans="15:20" ht="12.75">
      <c r="O183" s="1">
        <v>8</v>
      </c>
      <c r="P183" s="1"/>
      <c r="Q183" s="1"/>
      <c r="R183" s="4"/>
      <c r="S183" s="34"/>
      <c r="T183" s="142"/>
    </row>
    <row r="184" spans="15:20" ht="12.75">
      <c r="O184" s="37" t="s">
        <v>907</v>
      </c>
      <c r="P184" s="37"/>
      <c r="Q184" s="38"/>
      <c r="R184" s="39"/>
      <c r="S184" s="1"/>
      <c r="T184" s="1"/>
    </row>
    <row r="186" ht="12.75">
      <c r="Q186" s="40"/>
    </row>
    <row r="187" spans="15:20" ht="12.75">
      <c r="O187" s="1" t="s">
        <v>941</v>
      </c>
      <c r="P187" s="1"/>
      <c r="Q187" s="36"/>
      <c r="R187" s="1"/>
      <c r="S187" s="1"/>
      <c r="T187" s="2"/>
    </row>
    <row r="188" spans="15:20" ht="12.75">
      <c r="O188" s="1">
        <v>1</v>
      </c>
      <c r="P188" s="1"/>
      <c r="Q188" s="1"/>
      <c r="R188" s="4"/>
      <c r="S188" s="1"/>
      <c r="T188" s="140"/>
    </row>
    <row r="189" spans="15:20" ht="12.75">
      <c r="O189" s="1">
        <v>2</v>
      </c>
      <c r="P189" s="1"/>
      <c r="Q189" s="1"/>
      <c r="R189" s="4"/>
      <c r="S189" s="1"/>
      <c r="T189" s="141"/>
    </row>
    <row r="190" spans="15:20" ht="12.75">
      <c r="O190" s="1">
        <v>3</v>
      </c>
      <c r="P190" s="1"/>
      <c r="Q190" s="1"/>
      <c r="R190" s="4"/>
      <c r="S190" s="34"/>
      <c r="T190" s="141"/>
    </row>
    <row r="191" spans="15:20" ht="12.75">
      <c r="O191" s="1">
        <v>4</v>
      </c>
      <c r="P191" s="1"/>
      <c r="Q191" s="1"/>
      <c r="R191" s="4"/>
      <c r="S191" s="34"/>
      <c r="T191" s="141"/>
    </row>
    <row r="192" spans="15:20" ht="12.75">
      <c r="O192" s="1">
        <v>5</v>
      </c>
      <c r="P192" s="1"/>
      <c r="Q192" s="1"/>
      <c r="R192" s="4"/>
      <c r="S192" s="1"/>
      <c r="T192" s="141"/>
    </row>
    <row r="193" spans="15:20" ht="12.75">
      <c r="O193" s="1">
        <v>6</v>
      </c>
      <c r="P193" s="1"/>
      <c r="Q193" s="1"/>
      <c r="R193" s="4"/>
      <c r="S193" s="1"/>
      <c r="T193" s="141"/>
    </row>
    <row r="194" spans="15:20" ht="12.75">
      <c r="O194" s="1">
        <v>7</v>
      </c>
      <c r="P194" s="1"/>
      <c r="Q194" s="1"/>
      <c r="R194" s="4"/>
      <c r="S194" s="34"/>
      <c r="T194" s="141"/>
    </row>
    <row r="195" spans="15:20" ht="12.75">
      <c r="O195" s="1">
        <v>8</v>
      </c>
      <c r="P195" s="1"/>
      <c r="Q195" s="1"/>
      <c r="R195" s="4"/>
      <c r="S195" s="34"/>
      <c r="T195" s="142"/>
    </row>
    <row r="196" spans="15:20" ht="12.75">
      <c r="O196" s="37" t="s">
        <v>907</v>
      </c>
      <c r="P196" s="37"/>
      <c r="Q196" s="38"/>
      <c r="R196" s="39"/>
      <c r="S196" s="1"/>
      <c r="T196" s="1"/>
    </row>
    <row r="197" spans="15:20" ht="12.75">
      <c r="O197" s="1" t="s">
        <v>941</v>
      </c>
      <c r="P197" s="1"/>
      <c r="Q197" s="36"/>
      <c r="R197" s="1"/>
      <c r="S197" s="1"/>
      <c r="T197" s="2"/>
    </row>
    <row r="198" spans="15:20" ht="12.75">
      <c r="O198" s="1">
        <v>1</v>
      </c>
      <c r="P198" s="1"/>
      <c r="Q198" s="1"/>
      <c r="R198" s="4"/>
      <c r="S198" s="1"/>
      <c r="T198" s="140"/>
    </row>
    <row r="199" spans="15:20" ht="12.75">
      <c r="O199" s="1">
        <v>2</v>
      </c>
      <c r="P199" s="1"/>
      <c r="Q199" s="1"/>
      <c r="R199" s="4"/>
      <c r="S199" s="1"/>
      <c r="T199" s="141"/>
    </row>
    <row r="200" spans="15:20" ht="12.75">
      <c r="O200" s="1">
        <v>3</v>
      </c>
      <c r="P200" s="1"/>
      <c r="Q200" s="1"/>
      <c r="R200" s="4"/>
      <c r="S200" s="34"/>
      <c r="T200" s="141"/>
    </row>
    <row r="201" spans="15:20" ht="12.75">
      <c r="O201" s="1">
        <v>4</v>
      </c>
      <c r="P201" s="1"/>
      <c r="Q201" s="1"/>
      <c r="R201" s="4"/>
      <c r="S201" s="34"/>
      <c r="T201" s="141"/>
    </row>
    <row r="202" spans="15:20" ht="12.75">
      <c r="O202" s="1">
        <v>5</v>
      </c>
      <c r="P202" s="1"/>
      <c r="Q202" s="1"/>
      <c r="R202" s="4"/>
      <c r="S202" s="1"/>
      <c r="T202" s="141"/>
    </row>
    <row r="203" spans="15:20" ht="12.75">
      <c r="O203" s="1">
        <v>6</v>
      </c>
      <c r="P203" s="1"/>
      <c r="Q203" s="1"/>
      <c r="R203" s="4"/>
      <c r="S203" s="1"/>
      <c r="T203" s="141"/>
    </row>
    <row r="204" spans="15:20" ht="12.75">
      <c r="O204" s="1">
        <v>7</v>
      </c>
      <c r="P204" s="1"/>
      <c r="Q204" s="1"/>
      <c r="R204" s="4"/>
      <c r="S204" s="34"/>
      <c r="T204" s="141"/>
    </row>
    <row r="205" spans="15:20" ht="12.75">
      <c r="O205" s="1">
        <v>8</v>
      </c>
      <c r="P205" s="1"/>
      <c r="Q205" s="1"/>
      <c r="R205" s="4"/>
      <c r="S205" s="34"/>
      <c r="T205" s="142"/>
    </row>
    <row r="206" spans="15:20" ht="12.75">
      <c r="O206" s="37" t="s">
        <v>907</v>
      </c>
      <c r="P206" s="37"/>
      <c r="Q206" s="38"/>
      <c r="R206" s="39"/>
      <c r="S206" s="1"/>
      <c r="T206" s="1"/>
    </row>
    <row r="207" spans="15:20" ht="12.75">
      <c r="O207" s="1" t="s">
        <v>941</v>
      </c>
      <c r="P207" s="1"/>
      <c r="Q207" s="36"/>
      <c r="R207" s="1"/>
      <c r="S207" s="1"/>
      <c r="T207" s="2"/>
    </row>
    <row r="208" spans="15:20" ht="12.75">
      <c r="O208" s="1">
        <v>1</v>
      </c>
      <c r="P208" s="1"/>
      <c r="Q208" s="1"/>
      <c r="R208" s="4"/>
      <c r="S208" s="1"/>
      <c r="T208" s="140"/>
    </row>
    <row r="209" spans="15:20" ht="12.75">
      <c r="O209" s="1">
        <v>2</v>
      </c>
      <c r="P209" s="1"/>
      <c r="Q209" s="1"/>
      <c r="R209" s="4"/>
      <c r="S209" s="1"/>
      <c r="T209" s="141"/>
    </row>
    <row r="210" spans="15:20" ht="12.75">
      <c r="O210" s="1">
        <v>3</v>
      </c>
      <c r="P210" s="1"/>
      <c r="Q210" s="1"/>
      <c r="R210" s="4"/>
      <c r="S210" s="34"/>
      <c r="T210" s="141"/>
    </row>
    <row r="211" spans="15:20" ht="12.75">
      <c r="O211" s="1">
        <v>4</v>
      </c>
      <c r="P211" s="1"/>
      <c r="Q211" s="1"/>
      <c r="R211" s="4"/>
      <c r="S211" s="34"/>
      <c r="T211" s="141"/>
    </row>
    <row r="212" spans="15:20" ht="12.75">
      <c r="O212" s="1">
        <v>5</v>
      </c>
      <c r="P212" s="1"/>
      <c r="Q212" s="1"/>
      <c r="R212" s="4"/>
      <c r="S212" s="1"/>
      <c r="T212" s="141"/>
    </row>
    <row r="213" spans="15:20" ht="12.75">
      <c r="O213" s="1">
        <v>6</v>
      </c>
      <c r="P213" s="1"/>
      <c r="Q213" s="1"/>
      <c r="R213" s="4"/>
      <c r="S213" s="1"/>
      <c r="T213" s="141"/>
    </row>
    <row r="214" spans="15:20" ht="12.75">
      <c r="O214" s="1">
        <v>7</v>
      </c>
      <c r="P214" s="1"/>
      <c r="Q214" s="1"/>
      <c r="R214" s="4"/>
      <c r="S214" s="34"/>
      <c r="T214" s="141"/>
    </row>
    <row r="215" spans="15:20" ht="12.75">
      <c r="O215" s="1">
        <v>8</v>
      </c>
      <c r="P215" s="1"/>
      <c r="Q215" s="1"/>
      <c r="R215" s="4"/>
      <c r="S215" s="34"/>
      <c r="T215" s="142"/>
    </row>
    <row r="216" spans="15:20" ht="12.75">
      <c r="O216" s="37" t="s">
        <v>907</v>
      </c>
      <c r="P216" s="37"/>
      <c r="Q216" s="38"/>
      <c r="R216" s="39"/>
      <c r="S216" s="1"/>
      <c r="T216" s="1"/>
    </row>
    <row r="217" spans="15:20" ht="12.75">
      <c r="O217" s="1" t="s">
        <v>941</v>
      </c>
      <c r="P217" s="1"/>
      <c r="Q217" s="36"/>
      <c r="R217" s="1"/>
      <c r="S217" s="1"/>
      <c r="T217" s="2"/>
    </row>
    <row r="218" spans="15:20" ht="12.75">
      <c r="O218" s="1">
        <v>1</v>
      </c>
      <c r="P218" s="1"/>
      <c r="Q218" s="1"/>
      <c r="R218" s="4"/>
      <c r="S218" s="1"/>
      <c r="T218" s="140"/>
    </row>
    <row r="219" spans="15:20" ht="12.75">
      <c r="O219" s="1">
        <v>2</v>
      </c>
      <c r="P219" s="1"/>
      <c r="Q219" s="1"/>
      <c r="R219" s="4"/>
      <c r="S219" s="1"/>
      <c r="T219" s="141"/>
    </row>
    <row r="220" spans="15:20" ht="12.75">
      <c r="O220" s="1">
        <v>3</v>
      </c>
      <c r="P220" s="1"/>
      <c r="Q220" s="1"/>
      <c r="R220" s="4"/>
      <c r="S220" s="34"/>
      <c r="T220" s="141"/>
    </row>
    <row r="221" spans="15:20" ht="12.75">
      <c r="O221" s="1">
        <v>4</v>
      </c>
      <c r="P221" s="1"/>
      <c r="Q221" s="1"/>
      <c r="R221" s="4"/>
      <c r="S221" s="34"/>
      <c r="T221" s="141"/>
    </row>
    <row r="222" spans="15:20" ht="12.75">
      <c r="O222" s="1">
        <v>5</v>
      </c>
      <c r="P222" s="1"/>
      <c r="Q222" s="1"/>
      <c r="R222" s="4"/>
      <c r="S222" s="1"/>
      <c r="T222" s="141"/>
    </row>
    <row r="223" spans="15:20" ht="12.75">
      <c r="O223" s="1">
        <v>6</v>
      </c>
      <c r="P223" s="1"/>
      <c r="Q223" s="1"/>
      <c r="R223" s="4"/>
      <c r="S223" s="1"/>
      <c r="T223" s="141"/>
    </row>
    <row r="224" spans="15:20" ht="12.75">
      <c r="O224" s="1">
        <v>7</v>
      </c>
      <c r="P224" s="1"/>
      <c r="Q224" s="1"/>
      <c r="R224" s="4"/>
      <c r="S224" s="34"/>
      <c r="T224" s="141"/>
    </row>
    <row r="225" spans="15:20" ht="12.75">
      <c r="O225" s="1">
        <v>8</v>
      </c>
      <c r="P225" s="1"/>
      <c r="Q225" s="1"/>
      <c r="R225" s="4"/>
      <c r="S225" s="34"/>
      <c r="T225" s="142"/>
    </row>
    <row r="226" spans="15:20" ht="12.75">
      <c r="O226" s="37" t="s">
        <v>907</v>
      </c>
      <c r="P226" s="37"/>
      <c r="Q226" s="38"/>
      <c r="R226" s="39"/>
      <c r="S226" s="1"/>
      <c r="T226" s="1"/>
    </row>
    <row r="227" spans="15:20" ht="12.75">
      <c r="O227" s="1" t="s">
        <v>941</v>
      </c>
      <c r="P227" s="1"/>
      <c r="Q227" s="36"/>
      <c r="R227" s="1"/>
      <c r="S227" s="1"/>
      <c r="T227" s="2"/>
    </row>
    <row r="228" spans="15:20" ht="12.75">
      <c r="O228" s="1">
        <v>1</v>
      </c>
      <c r="P228" s="1"/>
      <c r="Q228" s="1"/>
      <c r="R228" s="4"/>
      <c r="S228" s="1"/>
      <c r="T228" s="140"/>
    </row>
    <row r="229" spans="15:20" ht="12.75">
      <c r="O229" s="1">
        <v>2</v>
      </c>
      <c r="P229" s="1"/>
      <c r="Q229" s="1"/>
      <c r="R229" s="4"/>
      <c r="S229" s="1"/>
      <c r="T229" s="141"/>
    </row>
    <row r="230" spans="15:20" ht="12.75">
      <c r="O230" s="1">
        <v>3</v>
      </c>
      <c r="P230" s="1"/>
      <c r="Q230" s="1"/>
      <c r="R230" s="4"/>
      <c r="S230" s="34"/>
      <c r="T230" s="141"/>
    </row>
    <row r="231" spans="15:20" ht="12.75">
      <c r="O231" s="1">
        <v>4</v>
      </c>
      <c r="P231" s="1"/>
      <c r="Q231" s="1"/>
      <c r="R231" s="4"/>
      <c r="S231" s="34"/>
      <c r="T231" s="141"/>
    </row>
    <row r="232" spans="15:20" ht="12.75">
      <c r="O232" s="1">
        <v>5</v>
      </c>
      <c r="P232" s="1"/>
      <c r="Q232" s="1"/>
      <c r="R232" s="4"/>
      <c r="S232" s="1"/>
      <c r="T232" s="141"/>
    </row>
    <row r="233" spans="15:20" ht="12.75">
      <c r="O233" s="1">
        <v>6</v>
      </c>
      <c r="P233" s="1"/>
      <c r="Q233" s="1"/>
      <c r="R233" s="4"/>
      <c r="S233" s="1"/>
      <c r="T233" s="141"/>
    </row>
    <row r="234" spans="15:20" ht="12.75">
      <c r="O234" s="1">
        <v>7</v>
      </c>
      <c r="P234" s="1"/>
      <c r="Q234" s="1"/>
      <c r="R234" s="4"/>
      <c r="S234" s="34"/>
      <c r="T234" s="141"/>
    </row>
    <row r="235" spans="15:20" ht="12.75">
      <c r="O235" s="1">
        <v>8</v>
      </c>
      <c r="P235" s="1"/>
      <c r="Q235" s="1"/>
      <c r="R235" s="4"/>
      <c r="S235" s="34"/>
      <c r="T235" s="142"/>
    </row>
    <row r="236" spans="15:20" ht="12.75">
      <c r="O236" s="37" t="s">
        <v>907</v>
      </c>
      <c r="P236" s="37"/>
      <c r="Q236" s="38"/>
      <c r="R236" s="39"/>
      <c r="S236" s="1"/>
      <c r="T236" s="1"/>
    </row>
    <row r="237" spans="15:20" ht="12.75">
      <c r="O237" s="1" t="s">
        <v>941</v>
      </c>
      <c r="P237" s="1"/>
      <c r="Q237" s="36"/>
      <c r="R237" s="1"/>
      <c r="S237" s="1"/>
      <c r="T237" s="2"/>
    </row>
    <row r="238" spans="15:20" ht="12.75">
      <c r="O238" s="1">
        <v>1</v>
      </c>
      <c r="P238" s="1"/>
      <c r="Q238" s="1"/>
      <c r="R238" s="4"/>
      <c r="S238" s="1"/>
      <c r="T238" s="140"/>
    </row>
    <row r="239" spans="15:20" ht="12.75">
      <c r="O239" s="1">
        <v>2</v>
      </c>
      <c r="P239" s="1"/>
      <c r="Q239" s="1"/>
      <c r="R239" s="4"/>
      <c r="S239" s="1"/>
      <c r="T239" s="141"/>
    </row>
    <row r="240" spans="15:20" ht="12.75">
      <c r="O240" s="1">
        <v>3</v>
      </c>
      <c r="P240" s="1"/>
      <c r="Q240" s="1"/>
      <c r="R240" s="4"/>
      <c r="S240" s="34"/>
      <c r="T240" s="141"/>
    </row>
    <row r="241" spans="15:20" ht="12.75">
      <c r="O241" s="1">
        <v>4</v>
      </c>
      <c r="P241" s="1"/>
      <c r="Q241" s="1"/>
      <c r="R241" s="4"/>
      <c r="S241" s="34"/>
      <c r="T241" s="141"/>
    </row>
    <row r="242" spans="15:20" ht="12.75">
      <c r="O242" s="1">
        <v>5</v>
      </c>
      <c r="P242" s="1"/>
      <c r="Q242" s="1"/>
      <c r="R242" s="4"/>
      <c r="S242" s="1"/>
      <c r="T242" s="141"/>
    </row>
    <row r="243" spans="15:20" ht="12.75">
      <c r="O243" s="1">
        <v>6</v>
      </c>
      <c r="P243" s="1"/>
      <c r="Q243" s="1"/>
      <c r="R243" s="4"/>
      <c r="S243" s="1"/>
      <c r="T243" s="141"/>
    </row>
    <row r="244" spans="15:20" ht="12.75">
      <c r="O244" s="1">
        <v>7</v>
      </c>
      <c r="P244" s="1"/>
      <c r="Q244" s="1"/>
      <c r="R244" s="4"/>
      <c r="S244" s="34"/>
      <c r="T244" s="141"/>
    </row>
    <row r="245" spans="15:20" ht="12.75">
      <c r="O245" s="1">
        <v>8</v>
      </c>
      <c r="P245" s="1"/>
      <c r="Q245" s="1"/>
      <c r="R245" s="4"/>
      <c r="S245" s="34"/>
      <c r="T245" s="142"/>
    </row>
    <row r="246" spans="15:20" ht="12.75">
      <c r="O246" s="37" t="s">
        <v>907</v>
      </c>
      <c r="P246" s="37"/>
      <c r="Q246" s="38"/>
      <c r="R246" s="39"/>
      <c r="S246" s="1"/>
      <c r="T246" s="1"/>
    </row>
    <row r="247" spans="15:20" ht="12.75">
      <c r="O247" s="1" t="s">
        <v>941</v>
      </c>
      <c r="P247" s="1"/>
      <c r="Q247" s="36"/>
      <c r="R247" s="1"/>
      <c r="S247" s="1"/>
      <c r="T247" s="2"/>
    </row>
    <row r="248" spans="15:20" ht="12.75">
      <c r="O248" s="1">
        <v>1</v>
      </c>
      <c r="P248" s="1"/>
      <c r="Q248" s="1"/>
      <c r="R248" s="4"/>
      <c r="S248" s="1"/>
      <c r="T248" s="140"/>
    </row>
    <row r="249" spans="15:20" ht="12.75">
      <c r="O249" s="1">
        <v>2</v>
      </c>
      <c r="P249" s="1"/>
      <c r="Q249" s="1"/>
      <c r="R249" s="4"/>
      <c r="S249" s="1"/>
      <c r="T249" s="141"/>
    </row>
    <row r="250" spans="15:20" ht="12.75">
      <c r="O250" s="1">
        <v>3</v>
      </c>
      <c r="P250" s="1"/>
      <c r="Q250" s="1"/>
      <c r="R250" s="4"/>
      <c r="S250" s="34"/>
      <c r="T250" s="141"/>
    </row>
    <row r="251" spans="15:20" ht="12.75">
      <c r="O251" s="1">
        <v>4</v>
      </c>
      <c r="P251" s="1"/>
      <c r="Q251" s="1"/>
      <c r="R251" s="4"/>
      <c r="S251" s="34"/>
      <c r="T251" s="141"/>
    </row>
    <row r="252" spans="15:20" ht="12.75">
      <c r="O252" s="1">
        <v>5</v>
      </c>
      <c r="P252" s="1"/>
      <c r="Q252" s="1"/>
      <c r="R252" s="4"/>
      <c r="S252" s="1"/>
      <c r="T252" s="141"/>
    </row>
    <row r="253" spans="15:20" ht="12.75">
      <c r="O253" s="1">
        <v>6</v>
      </c>
      <c r="P253" s="1"/>
      <c r="Q253" s="1"/>
      <c r="R253" s="4"/>
      <c r="S253" s="1"/>
      <c r="T253" s="141"/>
    </row>
    <row r="254" spans="15:20" ht="12.75">
      <c r="O254" s="1">
        <v>7</v>
      </c>
      <c r="P254" s="1"/>
      <c r="Q254" s="1"/>
      <c r="R254" s="4"/>
      <c r="S254" s="34"/>
      <c r="T254" s="141"/>
    </row>
    <row r="255" spans="15:20" ht="12.75">
      <c r="O255" s="1">
        <v>8</v>
      </c>
      <c r="P255" s="1"/>
      <c r="Q255" s="1"/>
      <c r="R255" s="4"/>
      <c r="S255" s="34"/>
      <c r="T255" s="142"/>
    </row>
    <row r="256" spans="15:20" ht="12.75">
      <c r="O256" s="37" t="s">
        <v>907</v>
      </c>
      <c r="P256" s="37"/>
      <c r="Q256" s="38"/>
      <c r="R256" s="39"/>
      <c r="S256" s="1"/>
      <c r="T256" s="1"/>
    </row>
    <row r="258" ht="12.75">
      <c r="Q258" s="40"/>
    </row>
    <row r="259" spans="15:20" ht="12.75">
      <c r="O259" s="1" t="s">
        <v>941</v>
      </c>
      <c r="P259" s="1"/>
      <c r="Q259" s="36"/>
      <c r="R259" s="1"/>
      <c r="S259" s="1"/>
      <c r="T259" s="2"/>
    </row>
    <row r="260" spans="15:20" ht="12.75">
      <c r="O260" s="1">
        <v>1</v>
      </c>
      <c r="P260" s="1"/>
      <c r="Q260" s="1"/>
      <c r="R260" s="4"/>
      <c r="S260" s="1"/>
      <c r="T260" s="140"/>
    </row>
    <row r="261" spans="15:20" ht="12.75">
      <c r="O261" s="1">
        <v>2</v>
      </c>
      <c r="P261" s="1"/>
      <c r="Q261" s="1"/>
      <c r="R261" s="4"/>
      <c r="S261" s="1"/>
      <c r="T261" s="141"/>
    </row>
    <row r="262" spans="15:20" ht="12.75">
      <c r="O262" s="1">
        <v>3</v>
      </c>
      <c r="P262" s="1"/>
      <c r="Q262" s="1"/>
      <c r="R262" s="4"/>
      <c r="S262" s="34"/>
      <c r="T262" s="141"/>
    </row>
    <row r="263" spans="15:20" ht="12.75">
      <c r="O263" s="1">
        <v>4</v>
      </c>
      <c r="P263" s="1"/>
      <c r="Q263" s="1"/>
      <c r="R263" s="4"/>
      <c r="S263" s="34"/>
      <c r="T263" s="141"/>
    </row>
    <row r="264" spans="15:20" ht="12.75">
      <c r="O264" s="1">
        <v>5</v>
      </c>
      <c r="P264" s="1"/>
      <c r="Q264" s="1"/>
      <c r="R264" s="4"/>
      <c r="S264" s="1"/>
      <c r="T264" s="141"/>
    </row>
    <row r="265" spans="15:20" ht="12.75">
      <c r="O265" s="1">
        <v>6</v>
      </c>
      <c r="P265" s="1"/>
      <c r="Q265" s="1"/>
      <c r="R265" s="4"/>
      <c r="S265" s="1"/>
      <c r="T265" s="141"/>
    </row>
    <row r="266" spans="15:20" ht="12.75">
      <c r="O266" s="1">
        <v>7</v>
      </c>
      <c r="P266" s="1"/>
      <c r="Q266" s="1"/>
      <c r="R266" s="4"/>
      <c r="S266" s="34"/>
      <c r="T266" s="141"/>
    </row>
    <row r="267" spans="15:20" ht="12.75">
      <c r="O267" s="1">
        <v>8</v>
      </c>
      <c r="P267" s="1"/>
      <c r="Q267" s="1"/>
      <c r="R267" s="4"/>
      <c r="S267" s="34"/>
      <c r="T267" s="142"/>
    </row>
    <row r="268" spans="15:20" ht="12.75">
      <c r="O268" s="37" t="s">
        <v>907</v>
      </c>
      <c r="P268" s="37"/>
      <c r="Q268" s="38"/>
      <c r="R268" s="39"/>
      <c r="S268" s="1"/>
      <c r="T268" s="1"/>
    </row>
    <row r="269" spans="15:20" ht="12.75">
      <c r="O269" s="1" t="s">
        <v>941</v>
      </c>
      <c r="P269" s="1"/>
      <c r="Q269" s="36"/>
      <c r="R269" s="1"/>
      <c r="S269" s="1"/>
      <c r="T269" s="2"/>
    </row>
    <row r="270" spans="15:20" ht="12.75">
      <c r="O270" s="1">
        <v>1</v>
      </c>
      <c r="P270" s="1"/>
      <c r="Q270" s="1"/>
      <c r="R270" s="4"/>
      <c r="S270" s="1"/>
      <c r="T270" s="140"/>
    </row>
    <row r="271" spans="15:20" ht="12.75">
      <c r="O271" s="1">
        <v>2</v>
      </c>
      <c r="P271" s="1"/>
      <c r="Q271" s="1"/>
      <c r="R271" s="4"/>
      <c r="S271" s="1"/>
      <c r="T271" s="141"/>
    </row>
    <row r="272" spans="15:20" ht="12.75">
      <c r="O272" s="1">
        <v>3</v>
      </c>
      <c r="P272" s="1"/>
      <c r="Q272" s="1"/>
      <c r="R272" s="4"/>
      <c r="S272" s="34"/>
      <c r="T272" s="141"/>
    </row>
    <row r="273" spans="15:20" ht="12.75">
      <c r="O273" s="1">
        <v>4</v>
      </c>
      <c r="P273" s="1"/>
      <c r="Q273" s="1"/>
      <c r="R273" s="4"/>
      <c r="S273" s="34"/>
      <c r="T273" s="141"/>
    </row>
    <row r="274" spans="15:20" ht="12.75">
      <c r="O274" s="1">
        <v>5</v>
      </c>
      <c r="P274" s="1"/>
      <c r="Q274" s="1"/>
      <c r="R274" s="4"/>
      <c r="S274" s="1"/>
      <c r="T274" s="141"/>
    </row>
    <row r="275" spans="15:20" ht="12.75">
      <c r="O275" s="1">
        <v>6</v>
      </c>
      <c r="P275" s="1"/>
      <c r="Q275" s="1"/>
      <c r="R275" s="4"/>
      <c r="S275" s="1"/>
      <c r="T275" s="141"/>
    </row>
    <row r="276" spans="15:20" ht="12.75">
      <c r="O276" s="1">
        <v>7</v>
      </c>
      <c r="P276" s="1"/>
      <c r="Q276" s="1"/>
      <c r="R276" s="4"/>
      <c r="S276" s="34"/>
      <c r="T276" s="141"/>
    </row>
    <row r="277" spans="15:20" ht="12.75">
      <c r="O277" s="1">
        <v>8</v>
      </c>
      <c r="P277" s="1"/>
      <c r="Q277" s="1"/>
      <c r="R277" s="4"/>
      <c r="S277" s="34"/>
      <c r="T277" s="142"/>
    </row>
    <row r="278" spans="15:20" ht="12.75">
      <c r="O278" s="37" t="s">
        <v>907</v>
      </c>
      <c r="P278" s="37"/>
      <c r="Q278" s="38"/>
      <c r="R278" s="39"/>
      <c r="S278" s="1"/>
      <c r="T278" s="1"/>
    </row>
    <row r="279" spans="15:20" ht="12.75">
      <c r="O279" s="1" t="s">
        <v>941</v>
      </c>
      <c r="P279" s="1"/>
      <c r="Q279" s="36"/>
      <c r="R279" s="1"/>
      <c r="S279" s="1"/>
      <c r="T279" s="2"/>
    </row>
    <row r="280" spans="15:20" ht="12.75">
      <c r="O280" s="1">
        <v>1</v>
      </c>
      <c r="P280" s="1"/>
      <c r="Q280" s="1"/>
      <c r="R280" s="4"/>
      <c r="S280" s="1"/>
      <c r="T280" s="140"/>
    </row>
    <row r="281" spans="15:20" ht="12.75">
      <c r="O281" s="1">
        <v>2</v>
      </c>
      <c r="P281" s="1"/>
      <c r="Q281" s="1"/>
      <c r="R281" s="4"/>
      <c r="S281" s="1"/>
      <c r="T281" s="141"/>
    </row>
    <row r="282" spans="15:20" ht="12.75">
      <c r="O282" s="1">
        <v>3</v>
      </c>
      <c r="P282" s="1"/>
      <c r="Q282" s="1"/>
      <c r="R282" s="4"/>
      <c r="S282" s="34"/>
      <c r="T282" s="141"/>
    </row>
    <row r="283" spans="15:20" ht="12.75">
      <c r="O283" s="1">
        <v>4</v>
      </c>
      <c r="P283" s="1"/>
      <c r="Q283" s="1"/>
      <c r="R283" s="4"/>
      <c r="S283" s="34"/>
      <c r="T283" s="141"/>
    </row>
    <row r="284" spans="15:20" ht="12.75">
      <c r="O284" s="1">
        <v>5</v>
      </c>
      <c r="P284" s="1"/>
      <c r="Q284" s="1"/>
      <c r="R284" s="4"/>
      <c r="S284" s="1"/>
      <c r="T284" s="141"/>
    </row>
    <row r="285" spans="15:20" ht="12.75">
      <c r="O285" s="1">
        <v>6</v>
      </c>
      <c r="P285" s="1"/>
      <c r="Q285" s="1"/>
      <c r="R285" s="4"/>
      <c r="S285" s="1"/>
      <c r="T285" s="141"/>
    </row>
    <row r="286" spans="15:20" ht="12.75">
      <c r="O286" s="1">
        <v>7</v>
      </c>
      <c r="P286" s="1"/>
      <c r="Q286" s="1"/>
      <c r="R286" s="4"/>
      <c r="S286" s="34"/>
      <c r="T286" s="141"/>
    </row>
    <row r="287" spans="15:20" ht="12.75">
      <c r="O287" s="1">
        <v>8</v>
      </c>
      <c r="P287" s="1"/>
      <c r="Q287" s="1"/>
      <c r="R287" s="4"/>
      <c r="S287" s="34"/>
      <c r="T287" s="142"/>
    </row>
    <row r="288" spans="15:20" ht="12.75">
      <c r="O288" s="37" t="s">
        <v>907</v>
      </c>
      <c r="P288" s="37"/>
      <c r="Q288" s="38"/>
      <c r="R288" s="39"/>
      <c r="S288" s="1"/>
      <c r="T288" s="1"/>
    </row>
    <row r="289" spans="15:20" ht="12.75">
      <c r="O289" s="1" t="s">
        <v>941</v>
      </c>
      <c r="P289" s="1"/>
      <c r="Q289" s="36"/>
      <c r="R289" s="1"/>
      <c r="S289" s="1"/>
      <c r="T289" s="2"/>
    </row>
    <row r="290" spans="15:20" ht="12.75">
      <c r="O290" s="1">
        <v>1</v>
      </c>
      <c r="P290" s="1"/>
      <c r="Q290" s="1"/>
      <c r="R290" s="4"/>
      <c r="S290" s="1"/>
      <c r="T290" s="140"/>
    </row>
    <row r="291" spans="15:20" ht="12.75">
      <c r="O291" s="1">
        <v>2</v>
      </c>
      <c r="P291" s="1"/>
      <c r="Q291" s="1"/>
      <c r="R291" s="4"/>
      <c r="S291" s="1"/>
      <c r="T291" s="141"/>
    </row>
    <row r="292" spans="15:20" ht="12.75">
      <c r="O292" s="1">
        <v>3</v>
      </c>
      <c r="P292" s="1"/>
      <c r="Q292" s="1"/>
      <c r="R292" s="4"/>
      <c r="S292" s="34"/>
      <c r="T292" s="141"/>
    </row>
    <row r="293" spans="15:20" ht="12.75">
      <c r="O293" s="1">
        <v>4</v>
      </c>
      <c r="P293" s="1"/>
      <c r="Q293" s="1"/>
      <c r="R293" s="4"/>
      <c r="S293" s="34"/>
      <c r="T293" s="141"/>
    </row>
    <row r="294" spans="15:20" ht="12.75">
      <c r="O294" s="1">
        <v>5</v>
      </c>
      <c r="P294" s="1"/>
      <c r="Q294" s="1"/>
      <c r="R294" s="4"/>
      <c r="S294" s="1"/>
      <c r="T294" s="141"/>
    </row>
    <row r="295" spans="15:20" ht="12.75">
      <c r="O295" s="1">
        <v>6</v>
      </c>
      <c r="P295" s="1"/>
      <c r="Q295" s="1"/>
      <c r="R295" s="4"/>
      <c r="S295" s="1"/>
      <c r="T295" s="141"/>
    </row>
    <row r="296" spans="15:20" ht="12.75">
      <c r="O296" s="1">
        <v>7</v>
      </c>
      <c r="P296" s="1"/>
      <c r="Q296" s="1"/>
      <c r="R296" s="4"/>
      <c r="S296" s="34"/>
      <c r="T296" s="141"/>
    </row>
    <row r="297" spans="15:20" ht="12.75">
      <c r="O297" s="1">
        <v>8</v>
      </c>
      <c r="P297" s="1"/>
      <c r="Q297" s="1"/>
      <c r="R297" s="4"/>
      <c r="S297" s="34"/>
      <c r="T297" s="142"/>
    </row>
    <row r="298" spans="15:20" ht="12.75">
      <c r="O298" s="37" t="s">
        <v>907</v>
      </c>
      <c r="P298" s="37"/>
      <c r="Q298" s="38"/>
      <c r="R298" s="39"/>
      <c r="S298" s="1"/>
      <c r="T298" s="1"/>
    </row>
    <row r="299" spans="15:20" ht="12.75">
      <c r="O299" s="1" t="s">
        <v>941</v>
      </c>
      <c r="P299" s="1"/>
      <c r="Q299" s="36"/>
      <c r="R299" s="1"/>
      <c r="S299" s="1"/>
      <c r="T299" s="2"/>
    </row>
    <row r="300" spans="15:20" ht="12.75">
      <c r="O300" s="1">
        <v>1</v>
      </c>
      <c r="P300" s="1"/>
      <c r="Q300" s="1"/>
      <c r="R300" s="4"/>
      <c r="S300" s="1"/>
      <c r="T300" s="140"/>
    </row>
    <row r="301" spans="15:20" ht="12.75">
      <c r="O301" s="1">
        <v>2</v>
      </c>
      <c r="P301" s="1"/>
      <c r="Q301" s="1"/>
      <c r="R301" s="4"/>
      <c r="S301" s="1"/>
      <c r="T301" s="141"/>
    </row>
    <row r="302" spans="15:20" ht="12.75">
      <c r="O302" s="1">
        <v>3</v>
      </c>
      <c r="P302" s="1"/>
      <c r="Q302" s="1"/>
      <c r="R302" s="4"/>
      <c r="S302" s="34"/>
      <c r="T302" s="141"/>
    </row>
    <row r="303" spans="15:20" ht="12.75">
      <c r="O303" s="1">
        <v>4</v>
      </c>
      <c r="P303" s="1"/>
      <c r="Q303" s="1"/>
      <c r="R303" s="4"/>
      <c r="S303" s="34"/>
      <c r="T303" s="141"/>
    </row>
    <row r="304" spans="15:20" ht="12.75">
      <c r="O304" s="1">
        <v>5</v>
      </c>
      <c r="P304" s="1"/>
      <c r="Q304" s="1"/>
      <c r="R304" s="4"/>
      <c r="S304" s="1"/>
      <c r="T304" s="141"/>
    </row>
    <row r="305" spans="15:20" ht="12.75">
      <c r="O305" s="1">
        <v>6</v>
      </c>
      <c r="P305" s="1"/>
      <c r="Q305" s="1"/>
      <c r="R305" s="4"/>
      <c r="S305" s="1"/>
      <c r="T305" s="141"/>
    </row>
    <row r="306" spans="15:20" ht="12.75">
      <c r="O306" s="1">
        <v>7</v>
      </c>
      <c r="P306" s="1"/>
      <c r="Q306" s="1"/>
      <c r="R306" s="4"/>
      <c r="S306" s="34"/>
      <c r="T306" s="141"/>
    </row>
    <row r="307" spans="15:20" ht="12.75">
      <c r="O307" s="1">
        <v>8</v>
      </c>
      <c r="P307" s="1"/>
      <c r="Q307" s="1"/>
      <c r="R307" s="4"/>
      <c r="S307" s="34"/>
      <c r="T307" s="142"/>
    </row>
    <row r="308" spans="15:20" ht="12.75">
      <c r="O308" s="37" t="s">
        <v>907</v>
      </c>
      <c r="P308" s="37"/>
      <c r="Q308" s="38"/>
      <c r="R308" s="39"/>
      <c r="S308" s="1"/>
      <c r="T308" s="1"/>
    </row>
    <row r="309" spans="15:20" ht="12.75">
      <c r="O309" s="1" t="s">
        <v>941</v>
      </c>
      <c r="P309" s="1"/>
      <c r="Q309" s="36"/>
      <c r="R309" s="1"/>
      <c r="S309" s="1"/>
      <c r="T309" s="2"/>
    </row>
    <row r="310" spans="15:20" ht="12.75">
      <c r="O310" s="1">
        <v>1</v>
      </c>
      <c r="P310" s="1"/>
      <c r="Q310" s="1"/>
      <c r="R310" s="4"/>
      <c r="S310" s="1"/>
      <c r="T310" s="140"/>
    </row>
    <row r="311" spans="15:20" ht="12.75">
      <c r="O311" s="1">
        <v>2</v>
      </c>
      <c r="P311" s="1"/>
      <c r="Q311" s="1"/>
      <c r="R311" s="4"/>
      <c r="S311" s="1"/>
      <c r="T311" s="141"/>
    </row>
    <row r="312" spans="15:20" ht="12.75">
      <c r="O312" s="1">
        <v>3</v>
      </c>
      <c r="P312" s="1"/>
      <c r="Q312" s="1"/>
      <c r="R312" s="4"/>
      <c r="S312" s="34"/>
      <c r="T312" s="141"/>
    </row>
    <row r="313" spans="15:20" ht="12.75">
      <c r="O313" s="1">
        <v>4</v>
      </c>
      <c r="P313" s="1"/>
      <c r="Q313" s="1"/>
      <c r="R313" s="4"/>
      <c r="S313" s="34"/>
      <c r="T313" s="141"/>
    </row>
    <row r="314" spans="15:20" ht="12.75">
      <c r="O314" s="1">
        <v>5</v>
      </c>
      <c r="P314" s="1"/>
      <c r="Q314" s="1"/>
      <c r="R314" s="4"/>
      <c r="S314" s="1"/>
      <c r="T314" s="141"/>
    </row>
    <row r="315" spans="15:20" ht="12.75">
      <c r="O315" s="1">
        <v>6</v>
      </c>
      <c r="P315" s="1"/>
      <c r="Q315" s="1"/>
      <c r="R315" s="4"/>
      <c r="S315" s="1"/>
      <c r="T315" s="141"/>
    </row>
    <row r="316" spans="15:20" ht="12.75">
      <c r="O316" s="1">
        <v>7</v>
      </c>
      <c r="P316" s="1"/>
      <c r="Q316" s="1"/>
      <c r="R316" s="4"/>
      <c r="S316" s="34"/>
      <c r="T316" s="141"/>
    </row>
    <row r="317" spans="15:20" ht="12.75">
      <c r="O317" s="1">
        <v>8</v>
      </c>
      <c r="P317" s="1"/>
      <c r="Q317" s="1"/>
      <c r="R317" s="4"/>
      <c r="S317" s="34"/>
      <c r="T317" s="142"/>
    </row>
    <row r="318" spans="15:20" ht="12.75">
      <c r="O318" s="37" t="s">
        <v>907</v>
      </c>
      <c r="P318" s="37"/>
      <c r="Q318" s="38"/>
      <c r="R318" s="39"/>
      <c r="S318" s="1"/>
      <c r="T318" s="1"/>
    </row>
    <row r="319" spans="15:20" ht="12.75">
      <c r="O319" s="1" t="s">
        <v>941</v>
      </c>
      <c r="P319" s="1"/>
      <c r="Q319" s="36"/>
      <c r="R319" s="1"/>
      <c r="S319" s="1"/>
      <c r="T319" s="2"/>
    </row>
    <row r="320" spans="15:20" ht="12.75">
      <c r="O320" s="1">
        <v>1</v>
      </c>
      <c r="P320" s="1"/>
      <c r="Q320" s="1"/>
      <c r="R320" s="4"/>
      <c r="S320" s="1"/>
      <c r="T320" s="140"/>
    </row>
    <row r="321" spans="15:20" ht="12.75">
      <c r="O321" s="1">
        <v>2</v>
      </c>
      <c r="P321" s="1"/>
      <c r="Q321" s="1"/>
      <c r="R321" s="4"/>
      <c r="S321" s="1"/>
      <c r="T321" s="141"/>
    </row>
    <row r="322" spans="15:20" ht="12.75">
      <c r="O322" s="1">
        <v>3</v>
      </c>
      <c r="P322" s="1"/>
      <c r="Q322" s="1"/>
      <c r="R322" s="4"/>
      <c r="S322" s="34"/>
      <c r="T322" s="141"/>
    </row>
    <row r="323" spans="15:20" ht="12.75">
      <c r="O323" s="1">
        <v>4</v>
      </c>
      <c r="P323" s="1"/>
      <c r="Q323" s="1"/>
      <c r="R323" s="4"/>
      <c r="S323" s="34"/>
      <c r="T323" s="141"/>
    </row>
    <row r="324" spans="15:20" ht="12.75">
      <c r="O324" s="1">
        <v>5</v>
      </c>
      <c r="P324" s="1"/>
      <c r="Q324" s="1"/>
      <c r="R324" s="4"/>
      <c r="S324" s="1"/>
      <c r="T324" s="141"/>
    </row>
    <row r="325" spans="15:20" ht="12.75">
      <c r="O325" s="1">
        <v>6</v>
      </c>
      <c r="P325" s="1"/>
      <c r="Q325" s="1"/>
      <c r="R325" s="4"/>
      <c r="S325" s="1"/>
      <c r="T325" s="141"/>
    </row>
    <row r="326" spans="15:20" ht="12.75">
      <c r="O326" s="1">
        <v>7</v>
      </c>
      <c r="P326" s="1"/>
      <c r="Q326" s="1"/>
      <c r="R326" s="4"/>
      <c r="S326" s="34"/>
      <c r="T326" s="141"/>
    </row>
    <row r="327" spans="15:20" ht="12.75">
      <c r="O327" s="1">
        <v>8</v>
      </c>
      <c r="P327" s="1"/>
      <c r="Q327" s="1"/>
      <c r="R327" s="4"/>
      <c r="S327" s="34"/>
      <c r="T327" s="142"/>
    </row>
    <row r="328" spans="15:20" ht="12.75">
      <c r="O328" s="37" t="s">
        <v>907</v>
      </c>
      <c r="P328" s="37"/>
      <c r="Q328" s="38"/>
      <c r="R328" s="39"/>
      <c r="S328" s="1"/>
      <c r="T328" s="1"/>
    </row>
  </sheetData>
  <mergeCells count="42">
    <mergeCell ref="M24:M25"/>
    <mergeCell ref="T74:T81"/>
    <mergeCell ref="E5:F5"/>
    <mergeCell ref="C1:E1"/>
    <mergeCell ref="B2:F2"/>
    <mergeCell ref="C3:E3"/>
    <mergeCell ref="T64:T71"/>
    <mergeCell ref="B25:E25"/>
    <mergeCell ref="I25:L25"/>
    <mergeCell ref="T26:T33"/>
    <mergeCell ref="I36:L36"/>
    <mergeCell ref="I45:L45"/>
    <mergeCell ref="I56:L56"/>
    <mergeCell ref="T36:T42"/>
    <mergeCell ref="T45:T51"/>
    <mergeCell ref="T54:T61"/>
    <mergeCell ref="T146:T153"/>
    <mergeCell ref="T156:T163"/>
    <mergeCell ref="T84:T91"/>
    <mergeCell ref="T94:T101"/>
    <mergeCell ref="T106:T113"/>
    <mergeCell ref="T116:T123"/>
    <mergeCell ref="J5:K5"/>
    <mergeCell ref="T260:T267"/>
    <mergeCell ref="T270:T277"/>
    <mergeCell ref="T280:T287"/>
    <mergeCell ref="T248:T255"/>
    <mergeCell ref="T208:T215"/>
    <mergeCell ref="T218:T225"/>
    <mergeCell ref="T228:T235"/>
    <mergeCell ref="T238:T245"/>
    <mergeCell ref="T166:T173"/>
    <mergeCell ref="J68:L68"/>
    <mergeCell ref="T300:T307"/>
    <mergeCell ref="T310:T317"/>
    <mergeCell ref="T320:T327"/>
    <mergeCell ref="T290:T297"/>
    <mergeCell ref="T176:T183"/>
    <mergeCell ref="T188:T195"/>
    <mergeCell ref="T198:T205"/>
    <mergeCell ref="T126:T133"/>
    <mergeCell ref="T136:T14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61"/>
  <sheetViews>
    <sheetView workbookViewId="0" topLeftCell="A33">
      <selection activeCell="H163" sqref="H163"/>
    </sheetView>
  </sheetViews>
  <sheetFormatPr defaultColWidth="9.00390625" defaultRowHeight="12.75"/>
  <cols>
    <col min="2" max="2" width="11.00390625" style="0" customWidth="1"/>
    <col min="4" max="4" width="48.75390625" style="0" customWidth="1"/>
    <col min="5" max="5" width="16.875" style="0" customWidth="1"/>
    <col min="6" max="6" width="15.625" style="0" customWidth="1"/>
    <col min="7" max="7" width="10.375" style="0" customWidth="1"/>
    <col min="8" max="8" width="4.625" style="0" customWidth="1"/>
    <col min="9" max="9" width="31.125" style="0" customWidth="1"/>
    <col min="10" max="10" width="11.00390625" style="0" customWidth="1"/>
    <col min="11" max="12" width="15.625" style="0" customWidth="1"/>
    <col min="15" max="15" width="8.75390625" style="0" bestFit="1" customWidth="1"/>
    <col min="16" max="16" width="29.25390625" style="0" customWidth="1"/>
    <col min="17" max="17" width="10.00390625" style="0" customWidth="1"/>
    <col min="19" max="19" width="13.625" style="0" bestFit="1" customWidth="1"/>
  </cols>
  <sheetData>
    <row r="1" spans="3:5" ht="12.75">
      <c r="C1" s="133" t="s">
        <v>45</v>
      </c>
      <c r="D1" s="133"/>
      <c r="E1" s="133"/>
    </row>
    <row r="2" spans="2:6" ht="26.25" customHeight="1">
      <c r="B2" s="147" t="s">
        <v>66</v>
      </c>
      <c r="C2" s="147"/>
      <c r="D2" s="147"/>
      <c r="E2" s="147"/>
      <c r="F2" s="147"/>
    </row>
    <row r="3" spans="2:6" ht="15.75" customHeight="1">
      <c r="B3" s="147" t="s">
        <v>67</v>
      </c>
      <c r="C3" s="147"/>
      <c r="D3" s="147"/>
      <c r="E3" s="147"/>
      <c r="F3" s="147"/>
    </row>
    <row r="4" spans="2:18" ht="14.25" customHeight="1">
      <c r="B4" s="127" t="s">
        <v>4</v>
      </c>
      <c r="C4" s="127"/>
      <c r="D4" s="127"/>
      <c r="E4" s="127"/>
      <c r="F4" s="127"/>
      <c r="N4" s="150" t="s">
        <v>11</v>
      </c>
      <c r="O4" s="150"/>
      <c r="P4" s="150"/>
      <c r="Q4" s="150"/>
      <c r="R4" s="150"/>
    </row>
    <row r="5" spans="2:20" ht="15.75" customHeight="1">
      <c r="B5" s="126" t="s">
        <v>616</v>
      </c>
      <c r="C5" s="126"/>
      <c r="D5" s="126"/>
      <c r="E5" s="126"/>
      <c r="F5" s="6"/>
      <c r="N5" s="131" t="s">
        <v>19</v>
      </c>
      <c r="O5" s="131"/>
      <c r="P5" s="131"/>
      <c r="Q5" s="131"/>
      <c r="R5" s="131"/>
      <c r="S5" s="131"/>
      <c r="T5" s="131"/>
    </row>
    <row r="6" spans="4:12" ht="12.75">
      <c r="D6" s="15" t="s">
        <v>46</v>
      </c>
      <c r="K6" s="144" t="s">
        <v>1008</v>
      </c>
      <c r="L6" s="144" t="s">
        <v>590</v>
      </c>
    </row>
    <row r="7" spans="3:16" ht="12.75" customHeight="1">
      <c r="C7">
        <v>1</v>
      </c>
      <c r="D7" t="s">
        <v>905</v>
      </c>
      <c r="E7" t="s">
        <v>29</v>
      </c>
      <c r="F7" s="148"/>
      <c r="H7" s="135" t="s">
        <v>80</v>
      </c>
      <c r="I7" s="135"/>
      <c r="J7" s="135"/>
      <c r="K7" s="145"/>
      <c r="L7" s="145"/>
      <c r="P7" s="40"/>
    </row>
    <row r="8" spans="3:19" ht="28.5" customHeight="1">
      <c r="C8">
        <v>2</v>
      </c>
      <c r="D8" t="s">
        <v>26</v>
      </c>
      <c r="E8" t="s">
        <v>29</v>
      </c>
      <c r="F8" s="148"/>
      <c r="H8" s="35" t="s">
        <v>940</v>
      </c>
      <c r="I8" s="63" t="s">
        <v>5</v>
      </c>
      <c r="J8" s="35" t="s">
        <v>852</v>
      </c>
      <c r="K8" s="50" t="s">
        <v>1007</v>
      </c>
      <c r="L8" s="50" t="s">
        <v>591</v>
      </c>
      <c r="N8" s="1" t="s">
        <v>941</v>
      </c>
      <c r="O8" s="1" t="s">
        <v>942</v>
      </c>
      <c r="P8" s="36"/>
      <c r="Q8" s="1" t="s">
        <v>943</v>
      </c>
      <c r="R8" s="1" t="s">
        <v>28</v>
      </c>
      <c r="S8" s="2" t="s">
        <v>944</v>
      </c>
    </row>
    <row r="9" spans="3:19" ht="12.75">
      <c r="C9">
        <v>3</v>
      </c>
      <c r="D9" t="s">
        <v>25</v>
      </c>
      <c r="E9" t="s">
        <v>29</v>
      </c>
      <c r="F9" s="148"/>
      <c r="H9" s="1">
        <v>1</v>
      </c>
      <c r="I9" s="53" t="s">
        <v>57</v>
      </c>
      <c r="J9" s="54">
        <v>1.6194560185185185</v>
      </c>
      <c r="K9" s="1">
        <v>1</v>
      </c>
      <c r="L9" s="19">
        <v>1</v>
      </c>
      <c r="N9" s="1"/>
      <c r="O9" s="1"/>
      <c r="P9" s="1"/>
      <c r="Q9" s="4"/>
      <c r="R9" s="1"/>
      <c r="S9" s="140"/>
    </row>
    <row r="10" spans="3:19" ht="12.75">
      <c r="C10">
        <v>4</v>
      </c>
      <c r="D10" t="s">
        <v>24</v>
      </c>
      <c r="E10" t="s">
        <v>29</v>
      </c>
      <c r="F10" s="148"/>
      <c r="H10" s="1">
        <v>2</v>
      </c>
      <c r="I10" s="1" t="s">
        <v>27</v>
      </c>
      <c r="J10" s="28">
        <v>1.6216435185185185</v>
      </c>
      <c r="K10" s="1">
        <v>1</v>
      </c>
      <c r="L10" s="19">
        <v>2</v>
      </c>
      <c r="N10" s="1"/>
      <c r="O10" s="1"/>
      <c r="P10" s="1"/>
      <c r="Q10" s="4"/>
      <c r="R10" s="1"/>
      <c r="S10" s="141"/>
    </row>
    <row r="11" spans="3:19" ht="12.75">
      <c r="C11">
        <v>5</v>
      </c>
      <c r="D11" t="s">
        <v>68</v>
      </c>
      <c r="E11" t="s">
        <v>29</v>
      </c>
      <c r="F11" s="148"/>
      <c r="H11" s="1">
        <v>3</v>
      </c>
      <c r="I11" s="1" t="s">
        <v>103</v>
      </c>
      <c r="J11" s="5">
        <v>1.622060185185185</v>
      </c>
      <c r="K11" s="1">
        <v>1</v>
      </c>
      <c r="L11" s="19">
        <v>1</v>
      </c>
      <c r="N11" s="1"/>
      <c r="O11" s="1"/>
      <c r="P11" s="1"/>
      <c r="Q11" s="4"/>
      <c r="R11" s="34"/>
      <c r="S11" s="141"/>
    </row>
    <row r="12" spans="3:19" ht="12.75">
      <c r="C12">
        <v>6</v>
      </c>
      <c r="D12" t="s">
        <v>27</v>
      </c>
      <c r="E12" t="s">
        <v>29</v>
      </c>
      <c r="F12" s="148"/>
      <c r="H12" s="1">
        <v>4</v>
      </c>
      <c r="I12" s="1" t="s">
        <v>1060</v>
      </c>
      <c r="J12" s="5">
        <v>1.6258217592592592</v>
      </c>
      <c r="K12" s="1">
        <v>2</v>
      </c>
      <c r="L12" s="19">
        <v>2</v>
      </c>
      <c r="N12" s="1"/>
      <c r="O12" s="1"/>
      <c r="P12" s="1"/>
      <c r="Q12" s="4"/>
      <c r="R12" s="34"/>
      <c r="S12" s="141"/>
    </row>
    <row r="13" spans="3:19" ht="12.75">
      <c r="C13">
        <v>7</v>
      </c>
      <c r="D13" t="s">
        <v>60</v>
      </c>
      <c r="E13" t="s">
        <v>29</v>
      </c>
      <c r="F13" s="148"/>
      <c r="H13" s="1">
        <v>5</v>
      </c>
      <c r="I13" s="1" t="s">
        <v>1061</v>
      </c>
      <c r="J13" s="5">
        <v>1.6320833333333333</v>
      </c>
      <c r="K13" s="1">
        <v>1</v>
      </c>
      <c r="L13" s="19">
        <v>1</v>
      </c>
      <c r="N13" s="1"/>
      <c r="O13" s="1"/>
      <c r="P13" s="1"/>
      <c r="Q13" s="4"/>
      <c r="R13" s="1"/>
      <c r="S13" s="141"/>
    </row>
    <row r="14" spans="3:19" ht="12.75">
      <c r="C14">
        <v>8</v>
      </c>
      <c r="D14" t="s">
        <v>52</v>
      </c>
      <c r="E14" t="s">
        <v>29</v>
      </c>
      <c r="F14" s="148"/>
      <c r="H14" s="1">
        <v>6</v>
      </c>
      <c r="I14" s="1" t="s">
        <v>586</v>
      </c>
      <c r="J14" s="5">
        <v>1.6402893518518518</v>
      </c>
      <c r="K14" s="1">
        <v>2</v>
      </c>
      <c r="L14" s="19">
        <v>1</v>
      </c>
      <c r="N14" s="1"/>
      <c r="O14" s="1"/>
      <c r="P14" s="1"/>
      <c r="Q14" s="4"/>
      <c r="R14" s="1"/>
      <c r="S14" s="141"/>
    </row>
    <row r="15" spans="3:19" ht="12.75">
      <c r="C15">
        <v>9</v>
      </c>
      <c r="D15" t="s">
        <v>23</v>
      </c>
      <c r="F15" s="148"/>
      <c r="H15" s="1">
        <v>7</v>
      </c>
      <c r="I15" s="1" t="s">
        <v>582</v>
      </c>
      <c r="J15" s="5">
        <v>1.6403935185185186</v>
      </c>
      <c r="K15" s="1">
        <v>1</v>
      </c>
      <c r="L15" s="19">
        <v>1</v>
      </c>
      <c r="N15" s="1"/>
      <c r="O15" s="1"/>
      <c r="P15" s="1"/>
      <c r="Q15" s="4"/>
      <c r="R15" s="34"/>
      <c r="S15" s="141"/>
    </row>
    <row r="16" spans="3:19" ht="12.75">
      <c r="C16">
        <v>10</v>
      </c>
      <c r="D16" t="s">
        <v>58</v>
      </c>
      <c r="F16" s="148"/>
      <c r="H16" s="1">
        <v>8</v>
      </c>
      <c r="I16" s="1" t="s">
        <v>88</v>
      </c>
      <c r="J16" s="5">
        <v>1.66112268518519</v>
      </c>
      <c r="K16" s="1">
        <v>3</v>
      </c>
      <c r="L16" s="19">
        <v>3</v>
      </c>
      <c r="N16" s="1"/>
      <c r="O16" s="1"/>
      <c r="P16" s="1"/>
      <c r="Q16" s="4"/>
      <c r="R16" s="34"/>
      <c r="S16" s="142"/>
    </row>
    <row r="17" spans="3:19" ht="12.75">
      <c r="C17">
        <v>11</v>
      </c>
      <c r="D17" t="s">
        <v>48</v>
      </c>
      <c r="E17" t="s">
        <v>575</v>
      </c>
      <c r="F17" s="148"/>
      <c r="N17" s="37"/>
      <c r="O17" s="37"/>
      <c r="P17" s="38"/>
      <c r="Q17" s="39"/>
      <c r="R17" s="1"/>
      <c r="S17" s="1"/>
    </row>
    <row r="18" spans="3:19" ht="12.75" customHeight="1">
      <c r="C18">
        <v>12</v>
      </c>
      <c r="D18" t="s">
        <v>55</v>
      </c>
      <c r="F18" s="148"/>
      <c r="H18" s="135" t="s">
        <v>82</v>
      </c>
      <c r="I18" s="135"/>
      <c r="J18" s="135"/>
      <c r="N18" s="1"/>
      <c r="O18" s="1"/>
      <c r="P18" s="36"/>
      <c r="Q18" s="1"/>
      <c r="R18" s="1"/>
      <c r="S18" s="2"/>
    </row>
    <row r="19" spans="3:19" ht="12.75">
      <c r="C19">
        <v>13</v>
      </c>
      <c r="D19" t="s">
        <v>54</v>
      </c>
      <c r="F19" s="148"/>
      <c r="H19" s="35" t="s">
        <v>940</v>
      </c>
      <c r="I19" s="63" t="s">
        <v>5</v>
      </c>
      <c r="J19" s="35" t="s">
        <v>852</v>
      </c>
      <c r="N19" s="1"/>
      <c r="O19" s="1"/>
      <c r="P19" s="1"/>
      <c r="Q19" s="4"/>
      <c r="R19" s="1"/>
      <c r="S19" s="140"/>
    </row>
    <row r="20" spans="3:19" ht="12.75">
      <c r="C20">
        <v>14</v>
      </c>
      <c r="D20" t="s">
        <v>61</v>
      </c>
      <c r="E20" t="s">
        <v>575</v>
      </c>
      <c r="F20" s="148"/>
      <c r="H20" s="1">
        <v>1</v>
      </c>
      <c r="I20" s="53" t="s">
        <v>69</v>
      </c>
      <c r="J20" s="54">
        <v>1.614699074074074</v>
      </c>
      <c r="K20" s="1">
        <v>2</v>
      </c>
      <c r="L20" s="19">
        <v>0</v>
      </c>
      <c r="N20" s="1"/>
      <c r="O20" s="1"/>
      <c r="P20" s="1"/>
      <c r="Q20" s="4"/>
      <c r="R20" s="1"/>
      <c r="S20" s="141"/>
    </row>
    <row r="21" spans="3:19" ht="12.75">
      <c r="C21">
        <v>15</v>
      </c>
      <c r="D21" t="s">
        <v>50</v>
      </c>
      <c r="F21" s="148"/>
      <c r="H21" s="1">
        <v>2</v>
      </c>
      <c r="I21" s="1" t="s">
        <v>10</v>
      </c>
      <c r="J21" s="5">
        <v>1.620127314814815</v>
      </c>
      <c r="K21" s="1">
        <v>2</v>
      </c>
      <c r="L21" s="19">
        <v>1</v>
      </c>
      <c r="N21" s="1"/>
      <c r="O21" s="1"/>
      <c r="P21" s="1"/>
      <c r="Q21" s="4"/>
      <c r="R21" s="34"/>
      <c r="S21" s="141"/>
    </row>
    <row r="22" spans="3:19" ht="12.75">
      <c r="C22">
        <v>16</v>
      </c>
      <c r="D22" t="s">
        <v>51</v>
      </c>
      <c r="E22" t="s">
        <v>575</v>
      </c>
      <c r="F22" s="148"/>
      <c r="H22" s="1">
        <v>3</v>
      </c>
      <c r="I22" s="1" t="s">
        <v>53</v>
      </c>
      <c r="J22" s="5">
        <v>1.6202662037037037</v>
      </c>
      <c r="K22" s="1">
        <v>1</v>
      </c>
      <c r="L22" s="19">
        <v>2</v>
      </c>
      <c r="N22" s="1"/>
      <c r="O22" s="1"/>
      <c r="P22" s="1"/>
      <c r="Q22" s="4"/>
      <c r="R22" s="34"/>
      <c r="S22" s="141"/>
    </row>
    <row r="23" spans="3:19" ht="12.75">
      <c r="C23">
        <v>17</v>
      </c>
      <c r="D23" t="s">
        <v>56</v>
      </c>
      <c r="F23" s="148"/>
      <c r="H23" s="1">
        <v>4</v>
      </c>
      <c r="I23" s="1" t="s">
        <v>52</v>
      </c>
      <c r="J23" s="28">
        <v>1.6257175925925926</v>
      </c>
      <c r="K23" s="1">
        <v>1</v>
      </c>
      <c r="L23" s="19">
        <v>2</v>
      </c>
      <c r="N23" s="1"/>
      <c r="O23" s="1"/>
      <c r="P23" s="1"/>
      <c r="Q23" s="4"/>
      <c r="R23" s="1"/>
      <c r="S23" s="141"/>
    </row>
    <row r="24" spans="3:19" ht="12.75">
      <c r="C24">
        <v>18</v>
      </c>
      <c r="D24" t="s">
        <v>53</v>
      </c>
      <c r="F24" s="148"/>
      <c r="H24" s="1">
        <v>5</v>
      </c>
      <c r="I24" s="1" t="s">
        <v>1051</v>
      </c>
      <c r="J24" s="5">
        <v>1.6328587962962962</v>
      </c>
      <c r="K24" s="1">
        <v>1</v>
      </c>
      <c r="L24" s="19">
        <v>1</v>
      </c>
      <c r="N24" s="1"/>
      <c r="O24" s="1"/>
      <c r="P24" s="1"/>
      <c r="Q24" s="4"/>
      <c r="R24" s="1"/>
      <c r="S24" s="141"/>
    </row>
    <row r="25" spans="3:19" ht="12.75">
      <c r="C25">
        <v>19</v>
      </c>
      <c r="D25" t="s">
        <v>59</v>
      </c>
      <c r="F25" s="148"/>
      <c r="H25" s="1">
        <v>6</v>
      </c>
      <c r="I25" s="1" t="s">
        <v>96</v>
      </c>
      <c r="J25" s="5">
        <v>1.6416203703703705</v>
      </c>
      <c r="K25" s="1">
        <v>1</v>
      </c>
      <c r="L25" s="19">
        <v>2</v>
      </c>
      <c r="N25" s="1"/>
      <c r="O25" s="1"/>
      <c r="P25" s="1"/>
      <c r="Q25" s="4"/>
      <c r="R25" s="34"/>
      <c r="S25" s="141"/>
    </row>
    <row r="26" spans="3:19" ht="12.75">
      <c r="C26">
        <v>20</v>
      </c>
      <c r="D26" t="s">
        <v>47</v>
      </c>
      <c r="E26" t="s">
        <v>575</v>
      </c>
      <c r="F26" s="148"/>
      <c r="H26" s="1">
        <v>7</v>
      </c>
      <c r="I26" s="1" t="s">
        <v>102</v>
      </c>
      <c r="J26" s="5">
        <v>1.7167824074074074</v>
      </c>
      <c r="K26" s="1">
        <v>3</v>
      </c>
      <c r="L26" s="19">
        <v>2</v>
      </c>
      <c r="N26" s="1"/>
      <c r="O26" s="1"/>
      <c r="P26" s="1"/>
      <c r="Q26" s="4"/>
      <c r="R26" s="34"/>
      <c r="S26" s="142"/>
    </row>
    <row r="27" spans="3:19" ht="12.75">
      <c r="C27">
        <v>21</v>
      </c>
      <c r="D27" t="s">
        <v>57</v>
      </c>
      <c r="F27" s="148"/>
      <c r="H27" s="1">
        <v>8</v>
      </c>
      <c r="I27" s="1" t="s">
        <v>1064</v>
      </c>
      <c r="J27" s="5">
        <v>1.7814699074074074</v>
      </c>
      <c r="K27" s="1">
        <v>1</v>
      </c>
      <c r="L27" s="19">
        <v>0</v>
      </c>
      <c r="N27" s="37"/>
      <c r="O27" s="37"/>
      <c r="P27" s="38"/>
      <c r="Q27" s="39"/>
      <c r="R27" s="1"/>
      <c r="S27" s="1"/>
    </row>
    <row r="28" spans="3:19" ht="12.75">
      <c r="C28">
        <v>22</v>
      </c>
      <c r="D28" t="s">
        <v>49</v>
      </c>
      <c r="E28" t="s">
        <v>575</v>
      </c>
      <c r="F28" s="148"/>
      <c r="N28" s="1"/>
      <c r="O28" s="1"/>
      <c r="P28" s="36"/>
      <c r="Q28" s="1"/>
      <c r="R28" s="1"/>
      <c r="S28" s="2"/>
    </row>
    <row r="29" spans="3:19" ht="12.75">
      <c r="C29">
        <v>23</v>
      </c>
      <c r="D29" t="s">
        <v>579</v>
      </c>
      <c r="E29" t="s">
        <v>575</v>
      </c>
      <c r="F29" s="148"/>
      <c r="H29" s="135" t="s">
        <v>81</v>
      </c>
      <c r="I29" s="135"/>
      <c r="J29" s="135"/>
      <c r="N29" s="1"/>
      <c r="O29" s="1"/>
      <c r="P29" s="1"/>
      <c r="Q29" s="4"/>
      <c r="R29" s="1"/>
      <c r="S29" s="140"/>
    </row>
    <row r="30" spans="3:19" ht="12.75">
      <c r="C30">
        <v>24</v>
      </c>
      <c r="D30" t="s">
        <v>88</v>
      </c>
      <c r="F30" s="148"/>
      <c r="H30" s="35" t="s">
        <v>940</v>
      </c>
      <c r="I30" s="63" t="s">
        <v>5</v>
      </c>
      <c r="J30" s="35" t="s">
        <v>852</v>
      </c>
      <c r="K30" s="1"/>
      <c r="L30" s="29"/>
      <c r="N30" s="1"/>
      <c r="O30" s="1"/>
      <c r="P30" s="1"/>
      <c r="Q30" s="4"/>
      <c r="R30" s="1"/>
      <c r="S30" s="141"/>
    </row>
    <row r="31" spans="3:19" ht="12.75">
      <c r="C31">
        <v>25</v>
      </c>
      <c r="D31" t="s">
        <v>945</v>
      </c>
      <c r="F31" s="148"/>
      <c r="H31" s="1">
        <v>1</v>
      </c>
      <c r="I31" s="53" t="s">
        <v>905</v>
      </c>
      <c r="J31" s="54">
        <v>1.5724189814814815</v>
      </c>
      <c r="K31" s="1">
        <v>4</v>
      </c>
      <c r="L31" s="19">
        <v>1</v>
      </c>
      <c r="N31" s="1"/>
      <c r="O31" s="1"/>
      <c r="P31" s="1"/>
      <c r="Q31" s="4"/>
      <c r="R31" s="34"/>
      <c r="S31" s="141"/>
    </row>
    <row r="32" spans="3:19" ht="12.75">
      <c r="C32">
        <v>26</v>
      </c>
      <c r="D32" t="s">
        <v>89</v>
      </c>
      <c r="F32" s="148"/>
      <c r="H32" s="1">
        <v>2</v>
      </c>
      <c r="I32" s="1" t="s">
        <v>579</v>
      </c>
      <c r="J32" s="5">
        <v>1.5752199074074074</v>
      </c>
      <c r="K32" s="1">
        <v>4</v>
      </c>
      <c r="L32" s="19">
        <v>1</v>
      </c>
      <c r="N32" s="1"/>
      <c r="O32" s="1"/>
      <c r="P32" s="1"/>
      <c r="Q32" s="4"/>
      <c r="R32" s="34"/>
      <c r="S32" s="141"/>
    </row>
    <row r="33" spans="3:19" ht="12.75">
      <c r="C33">
        <v>27</v>
      </c>
      <c r="D33" t="s">
        <v>90</v>
      </c>
      <c r="F33" s="148"/>
      <c r="H33" s="1">
        <v>3</v>
      </c>
      <c r="I33" s="1" t="s">
        <v>56</v>
      </c>
      <c r="J33" s="28">
        <v>1.6155324074074073</v>
      </c>
      <c r="K33" s="1">
        <v>3</v>
      </c>
      <c r="L33" s="19">
        <v>0</v>
      </c>
      <c r="N33" s="1"/>
      <c r="O33" s="1"/>
      <c r="P33" s="1"/>
      <c r="Q33" s="4"/>
      <c r="R33" s="1"/>
      <c r="S33" s="141"/>
    </row>
    <row r="34" spans="3:19" ht="12.75">
      <c r="C34">
        <v>28</v>
      </c>
      <c r="D34" t="s">
        <v>91</v>
      </c>
      <c r="F34" s="148"/>
      <c r="H34" s="1">
        <v>6</v>
      </c>
      <c r="I34" s="1" t="s">
        <v>1054</v>
      </c>
      <c r="J34" s="5">
        <v>1.6681828703703703</v>
      </c>
      <c r="K34" s="1">
        <v>2</v>
      </c>
      <c r="L34" s="19">
        <v>2</v>
      </c>
      <c r="N34" s="1"/>
      <c r="O34" s="1"/>
      <c r="P34" s="1"/>
      <c r="Q34" s="4"/>
      <c r="R34" s="1"/>
      <c r="S34" s="141"/>
    </row>
    <row r="35" spans="3:19" ht="12.75">
      <c r="C35">
        <v>29</v>
      </c>
      <c r="D35" t="s">
        <v>582</v>
      </c>
      <c r="H35" s="1">
        <v>8</v>
      </c>
      <c r="I35" s="1" t="s">
        <v>1059</v>
      </c>
      <c r="J35" s="5">
        <v>1.7168287037037038</v>
      </c>
      <c r="K35" s="1">
        <v>1</v>
      </c>
      <c r="L35" s="19">
        <v>1</v>
      </c>
      <c r="N35" s="1"/>
      <c r="O35" s="1"/>
      <c r="P35" s="1"/>
      <c r="Q35" s="4"/>
      <c r="R35" s="34"/>
      <c r="S35" s="141"/>
    </row>
    <row r="36" spans="3:19" ht="12.75">
      <c r="C36">
        <v>30</v>
      </c>
      <c r="D36" t="s">
        <v>93</v>
      </c>
      <c r="H36" s="1">
        <v>4</v>
      </c>
      <c r="I36" s="65" t="s">
        <v>59</v>
      </c>
      <c r="J36" s="5">
        <v>1.750196759259259</v>
      </c>
      <c r="K36" s="1">
        <v>1</v>
      </c>
      <c r="L36" s="19">
        <v>4</v>
      </c>
      <c r="N36" s="1"/>
      <c r="O36" s="1"/>
      <c r="P36" s="1"/>
      <c r="Q36" s="4"/>
      <c r="R36" s="34"/>
      <c r="S36" s="142"/>
    </row>
    <row r="37" spans="3:19" ht="12.75">
      <c r="C37">
        <v>31</v>
      </c>
      <c r="D37" t="s">
        <v>94</v>
      </c>
      <c r="H37" s="1">
        <v>5</v>
      </c>
      <c r="I37" s="1" t="s">
        <v>104</v>
      </c>
      <c r="J37" s="5">
        <v>1.7605324074074076</v>
      </c>
      <c r="K37" s="1">
        <v>0</v>
      </c>
      <c r="L37" s="19">
        <v>6</v>
      </c>
      <c r="N37" s="37"/>
      <c r="O37" s="37"/>
      <c r="P37" s="38"/>
      <c r="Q37" s="39"/>
      <c r="R37" s="1"/>
      <c r="S37" s="1"/>
    </row>
    <row r="38" spans="3:19" ht="12.75">
      <c r="C38">
        <v>32</v>
      </c>
      <c r="D38" t="s">
        <v>581</v>
      </c>
      <c r="H38" s="1">
        <v>7</v>
      </c>
      <c r="I38" s="35" t="s">
        <v>1056</v>
      </c>
      <c r="J38" s="5">
        <v>1.7634375</v>
      </c>
      <c r="K38" s="1">
        <v>1</v>
      </c>
      <c r="L38" s="19">
        <v>1</v>
      </c>
      <c r="N38" s="1"/>
      <c r="O38" s="1"/>
      <c r="P38" s="36"/>
      <c r="Q38" s="1"/>
      <c r="R38" s="1"/>
      <c r="S38" s="2"/>
    </row>
    <row r="39" spans="3:19" ht="12.75">
      <c r="C39">
        <v>33</v>
      </c>
      <c r="D39" t="s">
        <v>95</v>
      </c>
      <c r="N39" s="1"/>
      <c r="O39" s="1"/>
      <c r="P39" s="1"/>
      <c r="Q39" s="4"/>
      <c r="R39" s="1"/>
      <c r="S39" s="140"/>
    </row>
    <row r="40" spans="3:19" ht="12.75">
      <c r="C40">
        <v>34</v>
      </c>
      <c r="D40" t="s">
        <v>96</v>
      </c>
      <c r="H40" s="135" t="s">
        <v>83</v>
      </c>
      <c r="I40" s="135"/>
      <c r="J40" s="135"/>
      <c r="N40" s="1"/>
      <c r="O40" s="1"/>
      <c r="P40" s="1"/>
      <c r="Q40" s="4"/>
      <c r="R40" s="1"/>
      <c r="S40" s="141"/>
    </row>
    <row r="41" spans="3:19" ht="12.75">
      <c r="C41">
        <v>35</v>
      </c>
      <c r="D41" t="s">
        <v>97</v>
      </c>
      <c r="H41" s="35" t="s">
        <v>940</v>
      </c>
      <c r="I41" s="63" t="s">
        <v>5</v>
      </c>
      <c r="J41" s="35" t="s">
        <v>852</v>
      </c>
      <c r="N41" s="1"/>
      <c r="O41" s="1"/>
      <c r="P41" s="1"/>
      <c r="Q41" s="4"/>
      <c r="R41" s="34"/>
      <c r="S41" s="141"/>
    </row>
    <row r="42" spans="3:19" ht="12.75">
      <c r="C42">
        <v>36</v>
      </c>
      <c r="D42" t="s">
        <v>10</v>
      </c>
      <c r="H42" s="1">
        <v>1</v>
      </c>
      <c r="I42" s="53" t="s">
        <v>60</v>
      </c>
      <c r="J42" s="54">
        <v>1.5840625</v>
      </c>
      <c r="K42" s="1">
        <v>4</v>
      </c>
      <c r="L42" s="19">
        <v>0</v>
      </c>
      <c r="N42" s="1"/>
      <c r="O42" s="1"/>
      <c r="P42" s="1"/>
      <c r="Q42" s="4"/>
      <c r="R42" s="34"/>
      <c r="S42" s="141"/>
    </row>
    <row r="43" spans="3:19" ht="12.75">
      <c r="C43">
        <v>37</v>
      </c>
      <c r="D43" t="s">
        <v>98</v>
      </c>
      <c r="H43" s="1">
        <v>2</v>
      </c>
      <c r="I43" s="1" t="s">
        <v>49</v>
      </c>
      <c r="J43" s="5">
        <v>1.6356712962962963</v>
      </c>
      <c r="K43" s="1">
        <v>2</v>
      </c>
      <c r="L43" s="19">
        <v>1</v>
      </c>
      <c r="N43" s="1"/>
      <c r="O43" s="1"/>
      <c r="P43" s="1"/>
      <c r="Q43" s="4"/>
      <c r="R43" s="1"/>
      <c r="S43" s="141"/>
    </row>
    <row r="44" spans="3:19" ht="12.75">
      <c r="C44">
        <v>38</v>
      </c>
      <c r="D44" t="s">
        <v>580</v>
      </c>
      <c r="H44" s="1">
        <v>3</v>
      </c>
      <c r="I44" s="1" t="s">
        <v>50</v>
      </c>
      <c r="J44" s="5">
        <v>1.652997685185185</v>
      </c>
      <c r="K44" s="1">
        <v>1</v>
      </c>
      <c r="L44" s="19">
        <v>1</v>
      </c>
      <c r="N44" s="1"/>
      <c r="O44" s="1"/>
      <c r="P44" s="1"/>
      <c r="Q44" s="4"/>
      <c r="R44" s="1"/>
      <c r="S44" s="141"/>
    </row>
    <row r="45" spans="3:19" ht="12.75">
      <c r="C45">
        <v>39</v>
      </c>
      <c r="D45" t="s">
        <v>77</v>
      </c>
      <c r="H45" s="1">
        <v>4</v>
      </c>
      <c r="I45" s="1" t="s">
        <v>1065</v>
      </c>
      <c r="J45" s="5">
        <v>1.7049768518518518</v>
      </c>
      <c r="K45" s="1">
        <v>1</v>
      </c>
      <c r="L45" s="19">
        <v>2</v>
      </c>
      <c r="N45" s="1"/>
      <c r="O45" s="1"/>
      <c r="P45" s="1"/>
      <c r="Q45" s="4"/>
      <c r="R45" s="34"/>
      <c r="S45" s="141"/>
    </row>
    <row r="46" spans="3:19" ht="12.75">
      <c r="C46">
        <v>40</v>
      </c>
      <c r="D46" t="s">
        <v>100</v>
      </c>
      <c r="H46" s="1">
        <v>5</v>
      </c>
      <c r="I46" s="97" t="s">
        <v>1063</v>
      </c>
      <c r="J46" s="5">
        <v>1.7083912037037037</v>
      </c>
      <c r="K46" s="1">
        <v>1</v>
      </c>
      <c r="L46" s="19">
        <v>1</v>
      </c>
      <c r="N46" s="1"/>
      <c r="O46" s="1"/>
      <c r="P46" s="1"/>
      <c r="Q46" s="4"/>
      <c r="R46" s="34"/>
      <c r="S46" s="142"/>
    </row>
    <row r="47" spans="3:19" ht="12.75">
      <c r="C47">
        <v>41</v>
      </c>
      <c r="D47" t="s">
        <v>101</v>
      </c>
      <c r="H47" s="1">
        <v>6</v>
      </c>
      <c r="I47" s="1" t="s">
        <v>1067</v>
      </c>
      <c r="J47" s="5">
        <v>1.723726851851852</v>
      </c>
      <c r="K47" s="1">
        <v>1</v>
      </c>
      <c r="L47" s="19">
        <v>2</v>
      </c>
      <c r="N47" s="37"/>
      <c r="O47" s="37"/>
      <c r="P47" s="38"/>
      <c r="Q47" s="39"/>
      <c r="R47" s="1"/>
      <c r="S47" s="1"/>
    </row>
    <row r="48" spans="3:19" ht="12.75">
      <c r="C48">
        <v>42</v>
      </c>
      <c r="D48" t="s">
        <v>102</v>
      </c>
      <c r="H48" s="1">
        <v>7</v>
      </c>
      <c r="I48" s="1" t="s">
        <v>95</v>
      </c>
      <c r="J48" s="5">
        <v>1.7473379629629628</v>
      </c>
      <c r="K48" s="1">
        <v>1</v>
      </c>
      <c r="L48" s="19">
        <v>3</v>
      </c>
      <c r="N48" s="1"/>
      <c r="O48" s="1"/>
      <c r="P48" s="36"/>
      <c r="Q48" s="1"/>
      <c r="R48" s="1"/>
      <c r="S48" s="2"/>
    </row>
    <row r="49" spans="3:19" ht="12.75">
      <c r="C49">
        <v>43</v>
      </c>
      <c r="D49" t="s">
        <v>103</v>
      </c>
      <c r="E49" t="s">
        <v>575</v>
      </c>
      <c r="H49" s="1">
        <v>8</v>
      </c>
      <c r="I49" s="35" t="s">
        <v>1058</v>
      </c>
      <c r="J49" s="5">
        <v>1.789803240740741</v>
      </c>
      <c r="K49" s="1">
        <v>0</v>
      </c>
      <c r="L49" s="19">
        <v>1</v>
      </c>
      <c r="N49" s="1"/>
      <c r="O49" s="1"/>
      <c r="P49" s="1"/>
      <c r="Q49" s="4"/>
      <c r="R49" s="1"/>
      <c r="S49" s="140"/>
    </row>
    <row r="50" spans="3:19" ht="12.75">
      <c r="C50">
        <v>44</v>
      </c>
      <c r="D50" t="s">
        <v>9</v>
      </c>
      <c r="N50" s="1"/>
      <c r="O50" s="1"/>
      <c r="P50" s="1"/>
      <c r="Q50" s="4"/>
      <c r="R50" s="1"/>
      <c r="S50" s="141"/>
    </row>
    <row r="51" spans="3:19" ht="12.75">
      <c r="C51">
        <v>45</v>
      </c>
      <c r="D51" t="s">
        <v>104</v>
      </c>
      <c r="H51" s="135" t="s">
        <v>84</v>
      </c>
      <c r="I51" s="135"/>
      <c r="J51" s="135"/>
      <c r="N51" s="1"/>
      <c r="O51" s="1"/>
      <c r="P51" s="1"/>
      <c r="Q51" s="4"/>
      <c r="R51" s="34"/>
      <c r="S51" s="141"/>
    </row>
    <row r="52" spans="3:19" ht="12.75">
      <c r="C52">
        <v>46</v>
      </c>
      <c r="D52" t="s">
        <v>69</v>
      </c>
      <c r="E52" t="s">
        <v>575</v>
      </c>
      <c r="H52" s="35" t="s">
        <v>940</v>
      </c>
      <c r="I52" s="63" t="s">
        <v>5</v>
      </c>
      <c r="J52" s="35" t="s">
        <v>852</v>
      </c>
      <c r="N52" s="1"/>
      <c r="O52" s="1"/>
      <c r="P52" s="1"/>
      <c r="Q52" s="4"/>
      <c r="R52" s="34"/>
      <c r="S52" s="141"/>
    </row>
    <row r="53" spans="3:19" ht="12.75">
      <c r="C53">
        <v>47</v>
      </c>
      <c r="D53" t="s">
        <v>586</v>
      </c>
      <c r="H53" s="1">
        <v>1</v>
      </c>
      <c r="I53" s="53" t="s">
        <v>68</v>
      </c>
      <c r="J53" s="54">
        <v>1.598726851851852</v>
      </c>
      <c r="K53" s="1">
        <v>5</v>
      </c>
      <c r="L53" s="19">
        <v>0</v>
      </c>
      <c r="N53" s="1"/>
      <c r="O53" s="1"/>
      <c r="P53" s="1"/>
      <c r="Q53" s="4"/>
      <c r="R53" s="1"/>
      <c r="S53" s="141"/>
    </row>
    <row r="54" spans="8:19" ht="12.75">
      <c r="H54" s="1">
        <v>2</v>
      </c>
      <c r="I54" s="1" t="s">
        <v>51</v>
      </c>
      <c r="J54" s="5">
        <v>1.5991435185185185</v>
      </c>
      <c r="K54" s="1">
        <v>5</v>
      </c>
      <c r="L54" s="19">
        <v>1</v>
      </c>
      <c r="N54" s="1"/>
      <c r="O54" s="1"/>
      <c r="P54" s="1"/>
      <c r="Q54" s="4"/>
      <c r="R54" s="1"/>
      <c r="S54" s="141"/>
    </row>
    <row r="55" spans="4:19" ht="12.75">
      <c r="D55" t="s">
        <v>8</v>
      </c>
      <c r="H55" s="1">
        <v>3</v>
      </c>
      <c r="I55" s="1" t="s">
        <v>580</v>
      </c>
      <c r="J55" s="5">
        <v>1.8029976851851852</v>
      </c>
      <c r="K55" s="1">
        <v>1</v>
      </c>
      <c r="L55" s="19">
        <v>4</v>
      </c>
      <c r="N55" s="1"/>
      <c r="O55" s="1"/>
      <c r="P55" s="1"/>
      <c r="Q55" s="4"/>
      <c r="R55" s="34"/>
      <c r="S55" s="141"/>
    </row>
    <row r="56" spans="3:19" ht="12.75">
      <c r="C56">
        <v>48</v>
      </c>
      <c r="D56" s="1" t="s">
        <v>115</v>
      </c>
      <c r="E56" s="1" t="s">
        <v>1045</v>
      </c>
      <c r="H56" s="1">
        <v>4</v>
      </c>
      <c r="I56" s="1" t="s">
        <v>54</v>
      </c>
      <c r="J56" s="5">
        <v>1.8432291666666665</v>
      </c>
      <c r="K56" s="1">
        <v>1</v>
      </c>
      <c r="L56" s="19">
        <v>2</v>
      </c>
      <c r="N56" s="1"/>
      <c r="O56" s="1"/>
      <c r="P56" s="1"/>
      <c r="Q56" s="4"/>
      <c r="R56" s="34"/>
      <c r="S56" s="142"/>
    </row>
    <row r="57" spans="3:19" ht="12.75">
      <c r="C57">
        <v>49</v>
      </c>
      <c r="D57" s="1" t="s">
        <v>1046</v>
      </c>
      <c r="E57" s="1" t="s">
        <v>1047</v>
      </c>
      <c r="H57" s="1">
        <v>5</v>
      </c>
      <c r="I57" s="1" t="s">
        <v>93</v>
      </c>
      <c r="J57" s="5">
        <v>1.848726851851852</v>
      </c>
      <c r="K57" s="1">
        <v>2</v>
      </c>
      <c r="L57" s="19">
        <v>4</v>
      </c>
      <c r="N57" s="37"/>
      <c r="O57" s="37"/>
      <c r="P57" s="38"/>
      <c r="Q57" s="39"/>
      <c r="R57" s="1"/>
      <c r="S57" s="1"/>
    </row>
    <row r="58" spans="3:19" ht="12.75">
      <c r="C58">
        <v>50</v>
      </c>
      <c r="D58" s="1" t="s">
        <v>244</v>
      </c>
      <c r="E58" s="1" t="s">
        <v>1048</v>
      </c>
      <c r="H58" s="1">
        <v>6</v>
      </c>
      <c r="I58" s="1" t="s">
        <v>1052</v>
      </c>
      <c r="J58" s="5">
        <v>1.9327546296296296</v>
      </c>
      <c r="K58" s="1">
        <v>1</v>
      </c>
      <c r="L58" s="19">
        <v>2</v>
      </c>
      <c r="N58" s="1"/>
      <c r="O58" s="1"/>
      <c r="P58" s="36"/>
      <c r="Q58" s="1"/>
      <c r="R58" s="1"/>
      <c r="S58" s="2"/>
    </row>
    <row r="59" spans="3:19" ht="12.75">
      <c r="C59">
        <v>51</v>
      </c>
      <c r="D59" s="1" t="s">
        <v>70</v>
      </c>
      <c r="E59" s="1" t="s">
        <v>1055</v>
      </c>
      <c r="H59" s="1">
        <v>7</v>
      </c>
      <c r="I59" s="65" t="s">
        <v>1053</v>
      </c>
      <c r="J59" s="5">
        <v>1.93625</v>
      </c>
      <c r="K59" s="1">
        <v>1</v>
      </c>
      <c r="L59" s="19">
        <v>0</v>
      </c>
      <c r="N59" s="1"/>
      <c r="O59" s="1"/>
      <c r="P59" s="1"/>
      <c r="Q59" s="4"/>
      <c r="R59" s="1"/>
      <c r="S59" s="140"/>
    </row>
    <row r="60" spans="3:19" ht="12.75">
      <c r="C60">
        <v>52</v>
      </c>
      <c r="D60" s="1" t="s">
        <v>71</v>
      </c>
      <c r="E60" s="1" t="s">
        <v>76</v>
      </c>
      <c r="H60" s="1">
        <v>8</v>
      </c>
      <c r="I60" s="64" t="s">
        <v>1066</v>
      </c>
      <c r="J60" s="5">
        <v>1.9373263888888888</v>
      </c>
      <c r="K60" s="1">
        <v>1</v>
      </c>
      <c r="L60" s="19">
        <v>4</v>
      </c>
      <c r="N60" s="1"/>
      <c r="O60" s="1"/>
      <c r="P60" s="1"/>
      <c r="Q60" s="4"/>
      <c r="R60" s="1"/>
      <c r="S60" s="141"/>
    </row>
    <row r="61" spans="3:19" ht="12.75">
      <c r="C61">
        <v>53</v>
      </c>
      <c r="D61" s="1" t="s">
        <v>72</v>
      </c>
      <c r="E61" s="1" t="s">
        <v>1</v>
      </c>
      <c r="N61" s="1"/>
      <c r="O61" s="1"/>
      <c r="P61" s="1"/>
      <c r="Q61" s="4"/>
      <c r="R61" s="34"/>
      <c r="S61" s="141"/>
    </row>
    <row r="62" spans="3:19" ht="12.75">
      <c r="C62">
        <v>54</v>
      </c>
      <c r="D62" s="1" t="s">
        <v>583</v>
      </c>
      <c r="E62" s="1" t="s">
        <v>2</v>
      </c>
      <c r="H62" s="135" t="s">
        <v>85</v>
      </c>
      <c r="I62" s="135"/>
      <c r="J62" s="135"/>
      <c r="N62" s="1"/>
      <c r="O62" s="1"/>
      <c r="P62" s="1"/>
      <c r="Q62" s="4"/>
      <c r="R62" s="34"/>
      <c r="S62" s="141"/>
    </row>
    <row r="63" spans="3:19" ht="12.75">
      <c r="C63">
        <v>55</v>
      </c>
      <c r="D63" s="1" t="s">
        <v>515</v>
      </c>
      <c r="E63" s="1" t="s">
        <v>1010</v>
      </c>
      <c r="H63" s="35" t="s">
        <v>940</v>
      </c>
      <c r="I63" s="63" t="s">
        <v>5</v>
      </c>
      <c r="J63" s="35" t="s">
        <v>852</v>
      </c>
      <c r="N63" s="1"/>
      <c r="O63" s="1"/>
      <c r="P63" s="1"/>
      <c r="Q63" s="4"/>
      <c r="R63" s="1"/>
      <c r="S63" s="141"/>
    </row>
    <row r="64" spans="3:19" ht="12.75">
      <c r="C64">
        <v>56</v>
      </c>
      <c r="D64" s="1" t="s">
        <v>73</v>
      </c>
      <c r="E64" s="1" t="s">
        <v>1011</v>
      </c>
      <c r="H64" s="1">
        <v>1</v>
      </c>
      <c r="I64" s="53" t="s">
        <v>24</v>
      </c>
      <c r="J64" s="54">
        <v>1.559247685185185</v>
      </c>
      <c r="K64" s="1">
        <v>1</v>
      </c>
      <c r="L64" s="19">
        <v>0</v>
      </c>
      <c r="N64" s="1"/>
      <c r="O64" s="1"/>
      <c r="P64" s="1"/>
      <c r="Q64" s="4"/>
      <c r="R64" s="1"/>
      <c r="S64" s="141"/>
    </row>
    <row r="65" spans="3:19" ht="12.75">
      <c r="C65">
        <v>57</v>
      </c>
      <c r="D65" s="1" t="s">
        <v>922</v>
      </c>
      <c r="E65" s="1" t="s">
        <v>584</v>
      </c>
      <c r="H65" s="1">
        <v>2</v>
      </c>
      <c r="I65" s="1" t="s">
        <v>47</v>
      </c>
      <c r="J65" s="5">
        <v>1.7633101851851851</v>
      </c>
      <c r="K65" s="1">
        <v>1</v>
      </c>
      <c r="L65" s="19">
        <v>0</v>
      </c>
      <c r="N65" s="1"/>
      <c r="O65" s="1"/>
      <c r="P65" s="1"/>
      <c r="Q65" s="4"/>
      <c r="R65" s="34"/>
      <c r="S65" s="141"/>
    </row>
    <row r="66" spans="3:19" ht="12.75">
      <c r="C66">
        <v>58</v>
      </c>
      <c r="D66" s="1" t="s">
        <v>1012</v>
      </c>
      <c r="E66" s="1" t="s">
        <v>1013</v>
      </c>
      <c r="H66" s="1">
        <v>3</v>
      </c>
      <c r="I66" s="1" t="s">
        <v>101</v>
      </c>
      <c r="J66" s="5">
        <v>1.8069560185185185</v>
      </c>
      <c r="K66" s="1">
        <v>1</v>
      </c>
      <c r="L66" s="19">
        <v>0</v>
      </c>
      <c r="N66" s="1"/>
      <c r="O66" s="1"/>
      <c r="P66" s="1"/>
      <c r="Q66" s="4"/>
      <c r="R66" s="34"/>
      <c r="S66" s="142"/>
    </row>
    <row r="67" spans="3:19" ht="12.75">
      <c r="C67">
        <v>59</v>
      </c>
      <c r="D67" s="1" t="s">
        <v>229</v>
      </c>
      <c r="E67" s="1" t="s">
        <v>585</v>
      </c>
      <c r="H67" s="1">
        <v>4</v>
      </c>
      <c r="I67" s="1" t="s">
        <v>90</v>
      </c>
      <c r="J67" s="28">
        <v>1.8300810185185183</v>
      </c>
      <c r="K67" s="1">
        <v>2</v>
      </c>
      <c r="L67" s="19">
        <v>1</v>
      </c>
      <c r="N67" s="37"/>
      <c r="O67" s="37"/>
      <c r="P67" s="38"/>
      <c r="Q67" s="39"/>
      <c r="R67" s="1"/>
      <c r="S67" s="1"/>
    </row>
    <row r="68" spans="3:19" ht="12.75">
      <c r="C68">
        <v>60</v>
      </c>
      <c r="D68" s="1" t="s">
        <v>74</v>
      </c>
      <c r="E68" s="1" t="s">
        <v>1011</v>
      </c>
      <c r="H68" s="1">
        <v>5</v>
      </c>
      <c r="I68" s="1" t="s">
        <v>1062</v>
      </c>
      <c r="J68" s="5">
        <v>1.8306944444444444</v>
      </c>
      <c r="K68" s="1">
        <v>1</v>
      </c>
      <c r="L68" s="19">
        <v>4</v>
      </c>
      <c r="N68" s="1"/>
      <c r="O68" s="1"/>
      <c r="P68" s="36"/>
      <c r="Q68" s="1"/>
      <c r="R68" s="1"/>
      <c r="S68" s="2"/>
    </row>
    <row r="69" spans="3:19" ht="12.75">
      <c r="C69">
        <v>61</v>
      </c>
      <c r="D69" s="97" t="s">
        <v>933</v>
      </c>
      <c r="E69" s="1" t="s">
        <v>1009</v>
      </c>
      <c r="H69" s="1">
        <v>6</v>
      </c>
      <c r="I69" s="1" t="s">
        <v>98</v>
      </c>
      <c r="J69" s="5">
        <v>1.834050925925926</v>
      </c>
      <c r="K69" s="1">
        <v>1</v>
      </c>
      <c r="L69" s="19">
        <v>1</v>
      </c>
      <c r="N69" s="1"/>
      <c r="O69" s="1"/>
      <c r="P69" s="1"/>
      <c r="Q69" s="4"/>
      <c r="R69" s="1"/>
      <c r="S69" s="140"/>
    </row>
    <row r="70" spans="3:19" ht="12.75">
      <c r="C70">
        <v>62</v>
      </c>
      <c r="D70" s="1" t="s">
        <v>75</v>
      </c>
      <c r="E70" s="1" t="s">
        <v>76</v>
      </c>
      <c r="H70" s="1">
        <v>7</v>
      </c>
      <c r="I70" s="1" t="s">
        <v>23</v>
      </c>
      <c r="J70" s="5">
        <v>1.8410879629629628</v>
      </c>
      <c r="K70" s="1">
        <v>0</v>
      </c>
      <c r="L70" s="19">
        <v>1</v>
      </c>
      <c r="N70" s="1"/>
      <c r="O70" s="1"/>
      <c r="P70" s="1"/>
      <c r="Q70" s="4"/>
      <c r="R70" s="1"/>
      <c r="S70" s="141"/>
    </row>
    <row r="71" spans="3:19" ht="12.75">
      <c r="C71">
        <v>63</v>
      </c>
      <c r="D71" s="1" t="s">
        <v>78</v>
      </c>
      <c r="E71" s="1" t="s">
        <v>0</v>
      </c>
      <c r="H71" s="1">
        <v>8</v>
      </c>
      <c r="I71" s="1" t="s">
        <v>97</v>
      </c>
      <c r="J71" s="5">
        <v>1.8487037037037037</v>
      </c>
      <c r="K71" s="1">
        <v>0</v>
      </c>
      <c r="L71" s="19">
        <v>0</v>
      </c>
      <c r="N71" s="1"/>
      <c r="O71" s="1"/>
      <c r="P71" s="1"/>
      <c r="Q71" s="4"/>
      <c r="R71" s="34"/>
      <c r="S71" s="141"/>
    </row>
    <row r="72" spans="3:19" ht="12.75">
      <c r="C72">
        <v>64</v>
      </c>
      <c r="D72" s="1" t="s">
        <v>79</v>
      </c>
      <c r="E72" s="1" t="s">
        <v>1011</v>
      </c>
      <c r="N72" s="1"/>
      <c r="O72" s="1"/>
      <c r="P72" s="1"/>
      <c r="Q72" s="4"/>
      <c r="R72" s="34"/>
      <c r="S72" s="141"/>
    </row>
    <row r="73" spans="8:19" ht="12.75">
      <c r="H73" s="135" t="s">
        <v>86</v>
      </c>
      <c r="I73" s="135"/>
      <c r="J73" s="135"/>
      <c r="N73" s="1"/>
      <c r="O73" s="1"/>
      <c r="P73" s="1"/>
      <c r="Q73" s="4"/>
      <c r="R73" s="1"/>
      <c r="S73" s="141"/>
    </row>
    <row r="74" spans="8:19" ht="12.75">
      <c r="H74" s="35" t="s">
        <v>940</v>
      </c>
      <c r="I74" s="63" t="s">
        <v>5</v>
      </c>
      <c r="J74" s="35" t="s">
        <v>852</v>
      </c>
      <c r="N74" s="1"/>
      <c r="O74" s="1"/>
      <c r="P74" s="1"/>
      <c r="Q74" s="4"/>
      <c r="R74" s="1"/>
      <c r="S74" s="141"/>
    </row>
    <row r="75" spans="8:19" ht="12.75">
      <c r="H75" s="1">
        <v>1</v>
      </c>
      <c r="I75" s="53" t="s">
        <v>26</v>
      </c>
      <c r="J75" s="54">
        <v>1.5903125</v>
      </c>
      <c r="K75" s="1">
        <v>1</v>
      </c>
      <c r="L75" s="19">
        <v>2</v>
      </c>
      <c r="N75" s="1"/>
      <c r="O75" s="1"/>
      <c r="P75" s="1"/>
      <c r="Q75" s="4"/>
      <c r="R75" s="34"/>
      <c r="S75" s="141"/>
    </row>
    <row r="76" spans="8:19" ht="12.75">
      <c r="H76" s="1">
        <v>2</v>
      </c>
      <c r="I76" s="1" t="s">
        <v>61</v>
      </c>
      <c r="J76" s="5">
        <v>1.6001736111111111</v>
      </c>
      <c r="K76" s="1">
        <v>3</v>
      </c>
      <c r="L76" s="19">
        <v>0</v>
      </c>
      <c r="N76" s="1"/>
      <c r="O76" s="1"/>
      <c r="P76" s="1"/>
      <c r="Q76" s="4"/>
      <c r="R76" s="34"/>
      <c r="S76" s="142"/>
    </row>
    <row r="77" spans="8:19" ht="12.75">
      <c r="H77" s="1">
        <v>3</v>
      </c>
      <c r="I77" s="1" t="s">
        <v>55</v>
      </c>
      <c r="J77" s="5">
        <v>1.6403819444444443</v>
      </c>
      <c r="K77" s="1">
        <v>3</v>
      </c>
      <c r="L77" s="19">
        <v>1</v>
      </c>
      <c r="N77" s="37"/>
      <c r="O77" s="37"/>
      <c r="P77" s="38"/>
      <c r="Q77" s="39"/>
      <c r="R77" s="1"/>
      <c r="S77" s="1"/>
    </row>
    <row r="78" spans="8:19" ht="12.75">
      <c r="H78" s="1">
        <v>4</v>
      </c>
      <c r="I78" s="1" t="s">
        <v>1049</v>
      </c>
      <c r="J78" s="5">
        <v>1.6647222222222222</v>
      </c>
      <c r="K78" s="1">
        <v>1</v>
      </c>
      <c r="L78" s="19">
        <v>2</v>
      </c>
      <c r="N78" s="1"/>
      <c r="O78" s="1"/>
      <c r="P78" s="36"/>
      <c r="Q78" s="1"/>
      <c r="R78" s="1"/>
      <c r="S78" s="2"/>
    </row>
    <row r="79" spans="8:19" ht="12.75">
      <c r="H79" s="1">
        <v>5</v>
      </c>
      <c r="I79" s="1" t="s">
        <v>91</v>
      </c>
      <c r="J79" s="5">
        <v>1.6681365740740741</v>
      </c>
      <c r="K79" s="1">
        <v>0</v>
      </c>
      <c r="L79" s="19">
        <v>1</v>
      </c>
      <c r="N79" s="1"/>
      <c r="O79" s="1"/>
      <c r="P79" s="1"/>
      <c r="Q79" s="4"/>
      <c r="R79" s="1"/>
      <c r="S79" s="140"/>
    </row>
    <row r="80" spans="8:19" ht="12.75">
      <c r="H80" s="1">
        <v>6</v>
      </c>
      <c r="I80" s="1" t="s">
        <v>94</v>
      </c>
      <c r="J80" s="5">
        <v>1.668252314814815</v>
      </c>
      <c r="K80" s="1">
        <v>4</v>
      </c>
      <c r="L80" s="19">
        <v>2</v>
      </c>
      <c r="N80" s="1"/>
      <c r="O80" s="1"/>
      <c r="P80" s="1"/>
      <c r="Q80" s="4"/>
      <c r="R80" s="1"/>
      <c r="S80" s="141"/>
    </row>
    <row r="81" spans="8:19" ht="12.75">
      <c r="H81" s="1">
        <v>7</v>
      </c>
      <c r="I81" s="1" t="s">
        <v>9</v>
      </c>
      <c r="J81" s="5">
        <v>1.8327546296296298</v>
      </c>
      <c r="K81" s="1">
        <v>3</v>
      </c>
      <c r="L81" s="19">
        <v>2</v>
      </c>
      <c r="N81" s="1"/>
      <c r="O81" s="1"/>
      <c r="P81" s="1"/>
      <c r="Q81" s="4"/>
      <c r="R81" s="34"/>
      <c r="S81" s="141"/>
    </row>
    <row r="82" spans="8:19" ht="12.75">
      <c r="H82" s="1">
        <v>8</v>
      </c>
      <c r="I82" s="64" t="s">
        <v>1057</v>
      </c>
      <c r="J82" s="5">
        <v>1.8877546296296297</v>
      </c>
      <c r="K82" s="1">
        <v>0</v>
      </c>
      <c r="L82" s="19">
        <v>5</v>
      </c>
      <c r="N82" s="1"/>
      <c r="O82" s="1"/>
      <c r="P82" s="1"/>
      <c r="Q82" s="4"/>
      <c r="R82" s="34"/>
      <c r="S82" s="141"/>
    </row>
    <row r="83" spans="14:19" ht="12.75">
      <c r="N83" s="1"/>
      <c r="O83" s="1"/>
      <c r="P83" s="1"/>
      <c r="Q83" s="4"/>
      <c r="R83" s="1"/>
      <c r="S83" s="141"/>
    </row>
    <row r="84" spans="8:19" ht="12.75">
      <c r="H84" s="135" t="s">
        <v>87</v>
      </c>
      <c r="I84" s="135"/>
      <c r="J84" s="135"/>
      <c r="N84" s="1"/>
      <c r="O84" s="1"/>
      <c r="P84" s="1"/>
      <c r="Q84" s="4"/>
      <c r="R84" s="1"/>
      <c r="S84" s="141"/>
    </row>
    <row r="85" spans="8:19" ht="12.75">
      <c r="H85" s="35" t="s">
        <v>940</v>
      </c>
      <c r="I85" s="63" t="s">
        <v>5</v>
      </c>
      <c r="J85" s="35" t="s">
        <v>852</v>
      </c>
      <c r="N85" s="1"/>
      <c r="O85" s="1"/>
      <c r="P85" s="1"/>
      <c r="Q85" s="4"/>
      <c r="R85" s="34"/>
      <c r="S85" s="141"/>
    </row>
    <row r="86" spans="8:19" ht="12.75">
      <c r="H86" s="1">
        <v>1</v>
      </c>
      <c r="I86" s="53" t="s">
        <v>25</v>
      </c>
      <c r="J86" s="54">
        <v>1.584050925925926</v>
      </c>
      <c r="K86" s="1">
        <v>2</v>
      </c>
      <c r="L86" s="19">
        <v>1</v>
      </c>
      <c r="N86" s="1"/>
      <c r="O86" s="1"/>
      <c r="P86" s="1"/>
      <c r="Q86" s="4"/>
      <c r="R86" s="34"/>
      <c r="S86" s="142"/>
    </row>
    <row r="87" spans="8:19" ht="12.75">
      <c r="H87" s="1">
        <v>2</v>
      </c>
      <c r="I87" s="65" t="s">
        <v>945</v>
      </c>
      <c r="J87" s="5">
        <v>1.6403472222222222</v>
      </c>
      <c r="K87" s="1">
        <v>2</v>
      </c>
      <c r="L87" s="19">
        <v>1</v>
      </c>
      <c r="N87" s="37"/>
      <c r="O87" s="37"/>
      <c r="P87" s="38"/>
      <c r="Q87" s="39"/>
      <c r="R87" s="1"/>
      <c r="S87" s="1"/>
    </row>
    <row r="88" spans="8:12" ht="12.75">
      <c r="H88" s="1">
        <v>3</v>
      </c>
      <c r="I88" s="1" t="s">
        <v>581</v>
      </c>
      <c r="J88" s="5">
        <v>1.6431944444444444</v>
      </c>
      <c r="K88" s="1">
        <v>1</v>
      </c>
      <c r="L88" s="19">
        <v>1</v>
      </c>
    </row>
    <row r="89" spans="8:16" ht="12.75">
      <c r="H89" s="1">
        <v>4</v>
      </c>
      <c r="I89" s="1" t="s">
        <v>58</v>
      </c>
      <c r="J89" s="5">
        <v>1.6557291666666665</v>
      </c>
      <c r="K89" s="1">
        <v>2</v>
      </c>
      <c r="L89" s="19">
        <v>3</v>
      </c>
      <c r="P89" s="40"/>
    </row>
    <row r="90" spans="8:19" ht="12.75">
      <c r="H90" s="1">
        <v>5</v>
      </c>
      <c r="I90" s="1" t="s">
        <v>48</v>
      </c>
      <c r="J90" s="5">
        <v>1.6563657407407408</v>
      </c>
      <c r="K90" s="1">
        <v>0</v>
      </c>
      <c r="L90" s="19">
        <v>0</v>
      </c>
      <c r="N90" s="1"/>
      <c r="O90" s="1"/>
      <c r="P90" s="36"/>
      <c r="Q90" s="1"/>
      <c r="R90" s="1"/>
      <c r="S90" s="2"/>
    </row>
    <row r="91" spans="8:19" ht="12.75">
      <c r="H91" s="1">
        <v>6</v>
      </c>
      <c r="I91" s="1" t="s">
        <v>1050</v>
      </c>
      <c r="J91" s="5">
        <v>1.6588657407407406</v>
      </c>
      <c r="K91" s="1">
        <v>1</v>
      </c>
      <c r="L91" s="19">
        <v>0</v>
      </c>
      <c r="N91" s="1"/>
      <c r="O91" s="1"/>
      <c r="P91" s="1"/>
      <c r="Q91" s="4"/>
      <c r="R91" s="1"/>
      <c r="S91" s="140"/>
    </row>
    <row r="92" spans="8:19" ht="12.75">
      <c r="H92" s="1">
        <v>7</v>
      </c>
      <c r="I92" s="1" t="s">
        <v>77</v>
      </c>
      <c r="J92" s="5">
        <v>1.6640162037037038</v>
      </c>
      <c r="K92" s="1">
        <v>1</v>
      </c>
      <c r="L92" s="19">
        <v>2</v>
      </c>
      <c r="N92" s="1"/>
      <c r="O92" s="1"/>
      <c r="P92" s="1"/>
      <c r="Q92" s="4"/>
      <c r="R92" s="1"/>
      <c r="S92" s="141"/>
    </row>
    <row r="93" spans="8:19" ht="12.75">
      <c r="H93" s="1">
        <v>8</v>
      </c>
      <c r="I93" s="1" t="s">
        <v>1068</v>
      </c>
      <c r="J93" s="5">
        <v>1.718912037037037</v>
      </c>
      <c r="K93" s="1">
        <v>1</v>
      </c>
      <c r="L93" s="19">
        <v>2</v>
      </c>
      <c r="N93" s="1"/>
      <c r="O93" s="1"/>
      <c r="P93" s="1"/>
      <c r="Q93" s="4"/>
      <c r="R93" s="34"/>
      <c r="S93" s="141"/>
    </row>
    <row r="94" spans="14:19" ht="12.75">
      <c r="N94" s="1"/>
      <c r="O94" s="1"/>
      <c r="P94" s="1"/>
      <c r="Q94" s="4"/>
      <c r="R94" s="34"/>
      <c r="S94" s="141"/>
    </row>
    <row r="95" spans="9:19" ht="12.75">
      <c r="I95" t="s">
        <v>1074</v>
      </c>
      <c r="N95" s="1"/>
      <c r="O95" s="1"/>
      <c r="P95" s="1"/>
      <c r="Q95" s="4"/>
      <c r="R95" s="1"/>
      <c r="S95" s="141"/>
    </row>
    <row r="96" spans="8:19" ht="12.75">
      <c r="H96" s="35" t="s">
        <v>940</v>
      </c>
      <c r="I96" s="63" t="s">
        <v>5</v>
      </c>
      <c r="J96" s="35" t="s">
        <v>852</v>
      </c>
      <c r="N96" s="1"/>
      <c r="O96" s="1"/>
      <c r="P96" s="1"/>
      <c r="Q96" s="4"/>
      <c r="R96" s="1"/>
      <c r="S96" s="141"/>
    </row>
    <row r="97" spans="8:19" ht="12.75">
      <c r="H97" s="35">
        <v>1</v>
      </c>
      <c r="I97" s="53" t="s">
        <v>24</v>
      </c>
      <c r="J97" s="54">
        <v>1.559247685185185</v>
      </c>
      <c r="K97" s="149" t="s">
        <v>1075</v>
      </c>
      <c r="N97" s="1"/>
      <c r="O97" s="1"/>
      <c r="P97" s="1"/>
      <c r="Q97" s="4"/>
      <c r="R97" s="34"/>
      <c r="S97" s="141"/>
    </row>
    <row r="98" spans="8:19" ht="12.75">
      <c r="H98" s="35">
        <v>2</v>
      </c>
      <c r="I98" s="60" t="s">
        <v>905</v>
      </c>
      <c r="J98" s="54">
        <v>1.5724189814814815</v>
      </c>
      <c r="K98" s="149"/>
      <c r="L98" s="83"/>
      <c r="N98" s="1"/>
      <c r="O98" s="1"/>
      <c r="P98" s="1"/>
      <c r="Q98" s="4"/>
      <c r="R98" s="34"/>
      <c r="S98" s="142"/>
    </row>
    <row r="99" spans="8:19" ht="12.75">
      <c r="H99" s="35">
        <v>3</v>
      </c>
      <c r="I99" s="84" t="s">
        <v>579</v>
      </c>
      <c r="J99" s="85">
        <v>1.5752199074074074</v>
      </c>
      <c r="K99" s="149"/>
      <c r="L99" s="83"/>
      <c r="N99" s="37"/>
      <c r="O99" s="37"/>
      <c r="P99" s="38"/>
      <c r="Q99" s="39"/>
      <c r="R99" s="1"/>
      <c r="S99" s="1"/>
    </row>
    <row r="100" spans="8:19" ht="12.75">
      <c r="H100" s="35">
        <v>4</v>
      </c>
      <c r="I100" s="60" t="s">
        <v>25</v>
      </c>
      <c r="J100" s="54">
        <v>1.584050925925926</v>
      </c>
      <c r="K100" s="149"/>
      <c r="L100" s="83"/>
      <c r="N100" s="1"/>
      <c r="O100" s="1"/>
      <c r="P100" s="36"/>
      <c r="Q100" s="1"/>
      <c r="R100" s="1"/>
      <c r="S100" s="2"/>
    </row>
    <row r="101" spans="8:19" ht="12.75">
      <c r="H101" s="35">
        <v>5</v>
      </c>
      <c r="I101" s="60" t="s">
        <v>60</v>
      </c>
      <c r="J101" s="54">
        <v>1.5840625</v>
      </c>
      <c r="K101" s="149"/>
      <c r="L101" s="83"/>
      <c r="N101" s="1"/>
      <c r="O101" s="1"/>
      <c r="P101" s="1"/>
      <c r="Q101" s="4"/>
      <c r="R101" s="1"/>
      <c r="S101" s="140"/>
    </row>
    <row r="102" spans="8:19" ht="12.75">
      <c r="H102" s="35">
        <v>6</v>
      </c>
      <c r="I102" s="60" t="s">
        <v>26</v>
      </c>
      <c r="J102" s="54">
        <v>1.5903125</v>
      </c>
      <c r="K102" s="149"/>
      <c r="L102" s="83"/>
      <c r="N102" s="1"/>
      <c r="O102" s="1"/>
      <c r="P102" s="1"/>
      <c r="Q102" s="4"/>
      <c r="R102" s="1"/>
      <c r="S102" s="141"/>
    </row>
    <row r="103" spans="8:19" ht="12.75">
      <c r="H103" s="35">
        <v>7</v>
      </c>
      <c r="I103" s="60" t="s">
        <v>68</v>
      </c>
      <c r="J103" s="54">
        <v>1.598726851851852</v>
      </c>
      <c r="K103" s="149"/>
      <c r="L103" s="83"/>
      <c r="N103" s="1"/>
      <c r="O103" s="1"/>
      <c r="P103" s="1"/>
      <c r="Q103" s="4"/>
      <c r="R103" s="34"/>
      <c r="S103" s="141"/>
    </row>
    <row r="104" spans="8:19" ht="12.75">
      <c r="H104" s="35">
        <v>8</v>
      </c>
      <c r="I104" s="84" t="s">
        <v>51</v>
      </c>
      <c r="J104" s="85">
        <v>1.5991435185185185</v>
      </c>
      <c r="K104" s="149"/>
      <c r="L104" s="83"/>
      <c r="N104" s="1"/>
      <c r="O104" s="1"/>
      <c r="P104" s="1"/>
      <c r="Q104" s="4"/>
      <c r="R104" s="34"/>
      <c r="S104" s="141"/>
    </row>
    <row r="105" spans="8:19" ht="12.75">
      <c r="H105" s="35">
        <v>9</v>
      </c>
      <c r="I105" s="15" t="s">
        <v>61</v>
      </c>
      <c r="J105" s="85">
        <v>1.6001736111111111</v>
      </c>
      <c r="K105" s="149"/>
      <c r="L105" s="83"/>
      <c r="N105" s="1"/>
      <c r="O105" s="1"/>
      <c r="P105" s="1"/>
      <c r="Q105" s="4"/>
      <c r="R105" s="1"/>
      <c r="S105" s="141"/>
    </row>
    <row r="106" spans="8:19" ht="12.75">
      <c r="H106" s="35">
        <v>10</v>
      </c>
      <c r="I106" s="60" t="s">
        <v>69</v>
      </c>
      <c r="J106" s="54">
        <v>1.614699074074074</v>
      </c>
      <c r="K106" s="149"/>
      <c r="L106" s="83"/>
      <c r="N106" s="1"/>
      <c r="O106" s="1"/>
      <c r="P106" s="1"/>
      <c r="Q106" s="4"/>
      <c r="R106" s="1"/>
      <c r="S106" s="141"/>
    </row>
    <row r="107" spans="8:19" ht="12.75">
      <c r="H107" s="35">
        <v>11</v>
      </c>
      <c r="I107" s="84" t="s">
        <v>56</v>
      </c>
      <c r="J107" s="85">
        <v>1.6155324074074073</v>
      </c>
      <c r="K107" s="149"/>
      <c r="L107" s="83"/>
      <c r="N107" s="1"/>
      <c r="O107" s="1"/>
      <c r="P107" s="1"/>
      <c r="Q107" s="4"/>
      <c r="R107" s="34"/>
      <c r="S107" s="141"/>
    </row>
    <row r="108" spans="8:19" ht="12.75">
      <c r="H108" s="35">
        <v>12</v>
      </c>
      <c r="I108" s="60" t="s">
        <v>57</v>
      </c>
      <c r="J108" s="54">
        <v>1.6194560185185185</v>
      </c>
      <c r="K108" s="149"/>
      <c r="L108" s="83"/>
      <c r="N108" s="1"/>
      <c r="O108" s="1"/>
      <c r="P108" s="1"/>
      <c r="Q108" s="4"/>
      <c r="R108" s="34"/>
      <c r="S108" s="142"/>
    </row>
    <row r="109" spans="8:19" ht="12.75">
      <c r="H109" s="35">
        <v>13</v>
      </c>
      <c r="I109" s="84" t="s">
        <v>10</v>
      </c>
      <c r="J109" s="85">
        <v>1.620127314814815</v>
      </c>
      <c r="K109" s="149"/>
      <c r="L109" s="83"/>
      <c r="N109" s="37"/>
      <c r="O109" s="37"/>
      <c r="P109" s="38"/>
      <c r="Q109" s="39"/>
      <c r="R109" s="1"/>
      <c r="S109" s="1"/>
    </row>
    <row r="110" spans="8:19" ht="12.75">
      <c r="H110" s="35">
        <v>14</v>
      </c>
      <c r="I110" s="1" t="s">
        <v>53</v>
      </c>
      <c r="J110" s="5">
        <v>1.6202662037037037</v>
      </c>
      <c r="K110" s="149"/>
      <c r="L110" s="83"/>
      <c r="N110" s="1"/>
      <c r="O110" s="1"/>
      <c r="P110" s="36"/>
      <c r="Q110" s="1"/>
      <c r="R110" s="1"/>
      <c r="S110" s="2"/>
    </row>
    <row r="111" spans="8:19" ht="12.75">
      <c r="H111" s="35">
        <v>15</v>
      </c>
      <c r="I111" s="1" t="s">
        <v>27</v>
      </c>
      <c r="J111" s="28">
        <v>1.6216435185185185</v>
      </c>
      <c r="K111" s="149"/>
      <c r="L111" s="83"/>
      <c r="N111" s="1"/>
      <c r="O111" s="1"/>
      <c r="P111" s="1"/>
      <c r="Q111" s="4"/>
      <c r="R111" s="1"/>
      <c r="S111" s="140"/>
    </row>
    <row r="112" spans="8:19" ht="12.75">
      <c r="H112" s="35">
        <v>16</v>
      </c>
      <c r="I112" s="1" t="s">
        <v>103</v>
      </c>
      <c r="J112" s="5">
        <v>1.622060185185185</v>
      </c>
      <c r="K112" s="149"/>
      <c r="L112" s="83"/>
      <c r="N112" s="1"/>
      <c r="O112" s="1"/>
      <c r="P112" s="1"/>
      <c r="Q112" s="4"/>
      <c r="R112" s="1"/>
      <c r="S112" s="141"/>
    </row>
    <row r="113" spans="8:19" ht="12.75">
      <c r="H113" s="35">
        <v>17</v>
      </c>
      <c r="I113" t="s">
        <v>52</v>
      </c>
      <c r="J113" s="28">
        <v>1.6257175925925926</v>
      </c>
      <c r="K113" s="149"/>
      <c r="L113" s="83"/>
      <c r="N113" s="1"/>
      <c r="O113" s="1"/>
      <c r="P113" s="1"/>
      <c r="Q113" s="4"/>
      <c r="R113" s="34"/>
      <c r="S113" s="141"/>
    </row>
    <row r="114" spans="8:19" ht="12.75">
      <c r="H114" s="35">
        <v>18</v>
      </c>
      <c r="I114" s="1" t="s">
        <v>1060</v>
      </c>
      <c r="J114" s="5">
        <v>1.6258217592592592</v>
      </c>
      <c r="K114" s="149"/>
      <c r="L114" s="83"/>
      <c r="N114" s="1"/>
      <c r="O114" s="1"/>
      <c r="P114" s="1"/>
      <c r="Q114" s="4"/>
      <c r="R114" s="34"/>
      <c r="S114" s="141"/>
    </row>
    <row r="115" spans="8:19" ht="12.75">
      <c r="H115" s="35">
        <v>19</v>
      </c>
      <c r="I115" s="1" t="s">
        <v>1061</v>
      </c>
      <c r="J115" s="5">
        <v>1.6320833333333333</v>
      </c>
      <c r="K115" s="149"/>
      <c r="L115" s="83"/>
      <c r="N115" s="1"/>
      <c r="O115" s="1"/>
      <c r="P115" s="1"/>
      <c r="Q115" s="4"/>
      <c r="R115" s="1"/>
      <c r="S115" s="141"/>
    </row>
    <row r="116" spans="8:19" ht="12.75">
      <c r="H116" s="35">
        <v>20</v>
      </c>
      <c r="I116" s="1" t="s">
        <v>1051</v>
      </c>
      <c r="J116" s="5">
        <v>1.6328587962962962</v>
      </c>
      <c r="K116" s="149"/>
      <c r="L116" s="83"/>
      <c r="N116" s="1"/>
      <c r="O116" s="1"/>
      <c r="P116" s="1"/>
      <c r="Q116" s="4"/>
      <c r="R116" s="1"/>
      <c r="S116" s="141"/>
    </row>
    <row r="117" spans="8:19" ht="12.75">
      <c r="H117" s="35">
        <v>21</v>
      </c>
      <c r="I117" s="1" t="s">
        <v>49</v>
      </c>
      <c r="J117" s="5">
        <v>1.6356712962962963</v>
      </c>
      <c r="K117" s="149"/>
      <c r="L117" s="83"/>
      <c r="N117" s="1"/>
      <c r="O117" s="1"/>
      <c r="P117" s="1"/>
      <c r="Q117" s="4"/>
      <c r="R117" s="34"/>
      <c r="S117" s="141"/>
    </row>
    <row r="118" spans="8:19" ht="12.75">
      <c r="H118" s="35">
        <v>22</v>
      </c>
      <c r="I118" s="65" t="s">
        <v>586</v>
      </c>
      <c r="J118" s="5">
        <v>1.6402893518518518</v>
      </c>
      <c r="K118" s="149"/>
      <c r="L118" s="83"/>
      <c r="N118" s="1"/>
      <c r="O118" s="1"/>
      <c r="P118" s="1"/>
      <c r="Q118" s="4"/>
      <c r="R118" s="34"/>
      <c r="S118" s="142"/>
    </row>
    <row r="119" spans="8:19" ht="12.75">
      <c r="H119" s="35">
        <v>23</v>
      </c>
      <c r="I119" s="1" t="s">
        <v>945</v>
      </c>
      <c r="J119" s="5">
        <v>1.6403472222222222</v>
      </c>
      <c r="K119" s="149"/>
      <c r="L119" s="83"/>
      <c r="N119" s="37"/>
      <c r="O119" s="37"/>
      <c r="P119" s="38"/>
      <c r="Q119" s="39"/>
      <c r="R119" s="1"/>
      <c r="S119" s="1"/>
    </row>
    <row r="120" spans="8:19" ht="12.75">
      <c r="H120" s="35">
        <v>24</v>
      </c>
      <c r="I120" s="1" t="s">
        <v>55</v>
      </c>
      <c r="J120" s="5">
        <v>1.6403819444444443</v>
      </c>
      <c r="K120" s="149"/>
      <c r="L120" s="83"/>
      <c r="N120" s="1"/>
      <c r="O120" s="1"/>
      <c r="P120" s="36"/>
      <c r="Q120" s="1"/>
      <c r="R120" s="1"/>
      <c r="S120" s="2"/>
    </row>
    <row r="121" spans="8:19" ht="12.75">
      <c r="H121" s="35">
        <v>25</v>
      </c>
      <c r="I121" t="s">
        <v>582</v>
      </c>
      <c r="J121" s="5">
        <v>1.6403935185185186</v>
      </c>
      <c r="K121" s="149"/>
      <c r="L121" s="83"/>
      <c r="N121" s="1"/>
      <c r="O121" s="1"/>
      <c r="P121" s="1"/>
      <c r="Q121" s="4"/>
      <c r="R121" s="1"/>
      <c r="S121" s="140"/>
    </row>
    <row r="122" spans="8:19" ht="12.75">
      <c r="H122" s="35">
        <v>26</v>
      </c>
      <c r="I122" s="1" t="s">
        <v>96</v>
      </c>
      <c r="J122" s="5">
        <v>1.6416203703703705</v>
      </c>
      <c r="K122" s="149"/>
      <c r="L122" s="83"/>
      <c r="N122" s="1"/>
      <c r="O122" s="1"/>
      <c r="P122" s="1"/>
      <c r="Q122" s="4"/>
      <c r="R122" s="1"/>
      <c r="S122" s="141"/>
    </row>
    <row r="123" spans="8:19" ht="12.75">
      <c r="H123" s="35">
        <v>27</v>
      </c>
      <c r="I123" s="1" t="s">
        <v>581</v>
      </c>
      <c r="J123" s="5">
        <v>1.6431944444444444</v>
      </c>
      <c r="K123" s="149"/>
      <c r="L123" s="83"/>
      <c r="N123" s="1"/>
      <c r="O123" s="1"/>
      <c r="P123" s="1"/>
      <c r="Q123" s="4"/>
      <c r="R123" s="34"/>
      <c r="S123" s="141"/>
    </row>
    <row r="124" spans="8:19" ht="12.75">
      <c r="H124" s="35">
        <v>28</v>
      </c>
      <c r="I124" s="1" t="s">
        <v>50</v>
      </c>
      <c r="J124" s="5">
        <v>1.652997685185185</v>
      </c>
      <c r="K124" s="149"/>
      <c r="L124" s="83"/>
      <c r="N124" s="1"/>
      <c r="O124" s="1"/>
      <c r="P124" s="1"/>
      <c r="Q124" s="4"/>
      <c r="R124" s="34"/>
      <c r="S124" s="141"/>
    </row>
    <row r="125" spans="8:19" ht="12.75">
      <c r="H125" s="35">
        <v>29</v>
      </c>
      <c r="I125" s="1" t="s">
        <v>58</v>
      </c>
      <c r="J125" s="5">
        <v>1.6557291666666665</v>
      </c>
      <c r="K125" s="149"/>
      <c r="L125" s="83"/>
      <c r="N125" s="1"/>
      <c r="O125" s="1"/>
      <c r="P125" s="1"/>
      <c r="Q125" s="4"/>
      <c r="R125" s="1"/>
      <c r="S125" s="141"/>
    </row>
    <row r="126" spans="8:19" ht="12.75">
      <c r="H126" s="35">
        <v>30</v>
      </c>
      <c r="I126" s="1" t="s">
        <v>48</v>
      </c>
      <c r="J126" s="5">
        <v>1.6563657407407408</v>
      </c>
      <c r="K126" s="149"/>
      <c r="L126" s="83"/>
      <c r="N126" s="1"/>
      <c r="O126" s="1"/>
      <c r="P126" s="1"/>
      <c r="Q126" s="4"/>
      <c r="R126" s="1"/>
      <c r="S126" s="141"/>
    </row>
    <row r="127" spans="8:19" ht="12.75">
      <c r="H127" s="35">
        <v>31</v>
      </c>
      <c r="I127" s="1" t="s">
        <v>1050</v>
      </c>
      <c r="J127" s="5">
        <v>1.6588657407407406</v>
      </c>
      <c r="K127" s="149"/>
      <c r="N127" s="1"/>
      <c r="O127" s="1"/>
      <c r="P127" s="1"/>
      <c r="Q127" s="4"/>
      <c r="R127" s="34"/>
      <c r="S127" s="141"/>
    </row>
    <row r="128" spans="8:19" ht="12.75">
      <c r="H128" s="35">
        <v>32</v>
      </c>
      <c r="I128" s="1" t="s">
        <v>88</v>
      </c>
      <c r="J128" s="5">
        <v>1.66112268518519</v>
      </c>
      <c r="K128" s="149"/>
      <c r="N128" s="1"/>
      <c r="O128" s="1"/>
      <c r="P128" s="1"/>
      <c r="Q128" s="4"/>
      <c r="R128" s="34"/>
      <c r="S128" s="142"/>
    </row>
    <row r="129" spans="8:19" ht="12.75">
      <c r="H129" s="35">
        <v>33</v>
      </c>
      <c r="I129" t="s">
        <v>77</v>
      </c>
      <c r="J129" s="5">
        <v>1.6640162037037038</v>
      </c>
      <c r="K129" s="149"/>
      <c r="N129" s="37"/>
      <c r="O129" s="37"/>
      <c r="P129" s="38"/>
      <c r="Q129" s="39"/>
      <c r="R129" s="1"/>
      <c r="S129" s="1"/>
    </row>
    <row r="130" spans="8:19" ht="12.75">
      <c r="H130" s="35">
        <v>34</v>
      </c>
      <c r="I130" s="1" t="s">
        <v>1049</v>
      </c>
      <c r="J130" s="5">
        <v>1.6647222222222222</v>
      </c>
      <c r="K130" s="149"/>
      <c r="N130" s="1"/>
      <c r="O130" s="1"/>
      <c r="P130" s="36"/>
      <c r="Q130" s="1"/>
      <c r="R130" s="1"/>
      <c r="S130" s="2"/>
    </row>
    <row r="131" spans="8:19" ht="12.75">
      <c r="H131" s="35">
        <v>35</v>
      </c>
      <c r="I131" s="1" t="s">
        <v>91</v>
      </c>
      <c r="J131" s="5">
        <v>1.6681365740740741</v>
      </c>
      <c r="K131" s="149"/>
      <c r="N131" s="1"/>
      <c r="O131" s="1"/>
      <c r="P131" s="1"/>
      <c r="Q131" s="4"/>
      <c r="R131" s="1"/>
      <c r="S131" s="140"/>
    </row>
    <row r="132" spans="8:19" ht="12.75">
      <c r="H132" s="35">
        <v>36</v>
      </c>
      <c r="I132" s="1" t="s">
        <v>1054</v>
      </c>
      <c r="J132" s="5">
        <v>1.6681828703703703</v>
      </c>
      <c r="K132" s="149"/>
      <c r="N132" s="1"/>
      <c r="O132" s="1"/>
      <c r="P132" s="1"/>
      <c r="Q132" s="4"/>
      <c r="R132" s="1"/>
      <c r="S132" s="141"/>
    </row>
    <row r="133" spans="8:19" ht="12.75">
      <c r="H133" s="35">
        <v>37</v>
      </c>
      <c r="I133" s="1" t="s">
        <v>94</v>
      </c>
      <c r="J133" s="5">
        <v>1.668252314814815</v>
      </c>
      <c r="K133" s="149"/>
      <c r="N133" s="1"/>
      <c r="O133" s="1"/>
      <c r="P133" s="1"/>
      <c r="Q133" s="4"/>
      <c r="R133" s="34"/>
      <c r="S133" s="141"/>
    </row>
    <row r="134" spans="8:19" ht="12.75">
      <c r="H134" s="35">
        <v>38</v>
      </c>
      <c r="I134" s="1" t="s">
        <v>1065</v>
      </c>
      <c r="J134" s="5">
        <v>1.7049768518518518</v>
      </c>
      <c r="K134" s="149"/>
      <c r="N134" s="1"/>
      <c r="O134" s="1"/>
      <c r="P134" s="1"/>
      <c r="Q134" s="4"/>
      <c r="R134" s="34"/>
      <c r="S134" s="141"/>
    </row>
    <row r="135" spans="8:19" ht="12.75">
      <c r="H135" s="35">
        <v>39</v>
      </c>
      <c r="I135" s="98" t="s">
        <v>1063</v>
      </c>
      <c r="J135" s="5">
        <v>1.7083912037037037</v>
      </c>
      <c r="K135" s="149"/>
      <c r="N135" s="1"/>
      <c r="O135" s="1"/>
      <c r="P135" s="1"/>
      <c r="Q135" s="4"/>
      <c r="R135" s="1"/>
      <c r="S135" s="141"/>
    </row>
    <row r="136" spans="8:19" ht="12.75">
      <c r="H136" s="35">
        <v>40</v>
      </c>
      <c r="I136" s="65" t="s">
        <v>102</v>
      </c>
      <c r="J136" s="5">
        <v>1.7167824074074074</v>
      </c>
      <c r="K136" s="149"/>
      <c r="N136" s="1"/>
      <c r="O136" s="1"/>
      <c r="P136" s="1"/>
      <c r="Q136" s="4"/>
      <c r="R136" s="1"/>
      <c r="S136" s="141"/>
    </row>
    <row r="137" spans="8:19" ht="12.75">
      <c r="H137" s="35">
        <v>41</v>
      </c>
      <c r="I137" t="s">
        <v>1059</v>
      </c>
      <c r="J137" s="5">
        <v>1.7168287037037038</v>
      </c>
      <c r="K137" s="149"/>
      <c r="N137" s="1"/>
      <c r="O137" s="1"/>
      <c r="P137" s="1"/>
      <c r="Q137" s="4"/>
      <c r="R137" s="34"/>
      <c r="S137" s="141"/>
    </row>
    <row r="138" spans="8:19" ht="12.75">
      <c r="H138" s="35">
        <v>42</v>
      </c>
      <c r="I138" s="1" t="s">
        <v>1068</v>
      </c>
      <c r="J138" s="5">
        <v>1.718912037037037</v>
      </c>
      <c r="K138" s="149"/>
      <c r="N138" s="1"/>
      <c r="O138" s="1"/>
      <c r="P138" s="1"/>
      <c r="Q138" s="4"/>
      <c r="R138" s="34"/>
      <c r="S138" s="142"/>
    </row>
    <row r="139" spans="8:19" ht="12.75">
      <c r="H139" s="35">
        <v>43</v>
      </c>
      <c r="I139" s="1" t="s">
        <v>1067</v>
      </c>
      <c r="J139" s="5">
        <v>1.723726851851852</v>
      </c>
      <c r="K139" s="149"/>
      <c r="N139" s="37"/>
      <c r="O139" s="37"/>
      <c r="P139" s="38"/>
      <c r="Q139" s="39"/>
      <c r="R139" s="1"/>
      <c r="S139" s="1"/>
    </row>
    <row r="140" spans="8:19" ht="12.75">
      <c r="H140" s="35">
        <v>44</v>
      </c>
      <c r="I140" s="1" t="s">
        <v>95</v>
      </c>
      <c r="J140" s="5">
        <v>1.7473379629629628</v>
      </c>
      <c r="K140" s="149"/>
      <c r="N140" s="1"/>
      <c r="O140" s="1"/>
      <c r="P140" s="36"/>
      <c r="Q140" s="1"/>
      <c r="R140" s="1"/>
      <c r="S140" s="2"/>
    </row>
    <row r="141" spans="8:19" ht="12.75">
      <c r="H141" s="35">
        <v>45</v>
      </c>
      <c r="I141" s="1" t="s">
        <v>59</v>
      </c>
      <c r="J141" s="5">
        <v>1.750196759259259</v>
      </c>
      <c r="K141" s="149"/>
      <c r="N141" s="1"/>
      <c r="O141" s="1"/>
      <c r="P141" s="1"/>
      <c r="Q141" s="4"/>
      <c r="R141" s="1"/>
      <c r="S141" s="140"/>
    </row>
    <row r="142" spans="8:19" ht="12.75">
      <c r="H142" s="35">
        <v>46</v>
      </c>
      <c r="I142" s="1" t="s">
        <v>104</v>
      </c>
      <c r="J142" s="5">
        <v>1.7605324074074076</v>
      </c>
      <c r="K142" s="149"/>
      <c r="N142" s="1"/>
      <c r="O142" s="1"/>
      <c r="P142" s="1"/>
      <c r="Q142" s="4"/>
      <c r="R142" s="1"/>
      <c r="S142" s="141"/>
    </row>
    <row r="143" spans="8:19" ht="12.75">
      <c r="H143" s="35">
        <v>47</v>
      </c>
      <c r="I143" s="1" t="s">
        <v>47</v>
      </c>
      <c r="J143" s="5">
        <v>1.7633101851851851</v>
      </c>
      <c r="K143" s="149"/>
      <c r="N143" s="1"/>
      <c r="O143" s="1"/>
      <c r="P143" s="1"/>
      <c r="Q143" s="4"/>
      <c r="R143" s="34"/>
      <c r="S143" s="141"/>
    </row>
    <row r="144" spans="8:19" ht="12.75">
      <c r="H144" s="35">
        <v>48</v>
      </c>
      <c r="I144" s="35" t="s">
        <v>1056</v>
      </c>
      <c r="J144" s="5">
        <v>1.7634375</v>
      </c>
      <c r="K144" s="149"/>
      <c r="N144" s="1"/>
      <c r="O144" s="1"/>
      <c r="P144" s="1"/>
      <c r="Q144" s="4"/>
      <c r="R144" s="34"/>
      <c r="S144" s="141"/>
    </row>
    <row r="145" spans="8:19" ht="12.75">
      <c r="H145" s="35">
        <v>49</v>
      </c>
      <c r="I145" t="s">
        <v>1064</v>
      </c>
      <c r="J145" s="5">
        <v>1.7814699074074074</v>
      </c>
      <c r="K145" s="149"/>
      <c r="N145" s="1"/>
      <c r="O145" s="1"/>
      <c r="P145" s="1"/>
      <c r="Q145" s="4"/>
      <c r="R145" s="1"/>
      <c r="S145" s="141"/>
    </row>
    <row r="146" spans="8:19" ht="12.75">
      <c r="H146" s="35">
        <v>50</v>
      </c>
      <c r="I146" s="35" t="s">
        <v>1058</v>
      </c>
      <c r="J146" s="5">
        <v>1.789803240740741</v>
      </c>
      <c r="K146" s="149"/>
      <c r="N146" s="1"/>
      <c r="O146" s="1"/>
      <c r="P146" s="1"/>
      <c r="Q146" s="4"/>
      <c r="R146" s="1"/>
      <c r="S146" s="141"/>
    </row>
    <row r="147" spans="8:19" ht="12.75">
      <c r="H147" s="35">
        <v>51</v>
      </c>
      <c r="I147" s="1" t="s">
        <v>580</v>
      </c>
      <c r="J147" s="5">
        <v>1.8029976851851852</v>
      </c>
      <c r="K147" s="149"/>
      <c r="N147" s="1"/>
      <c r="O147" s="1"/>
      <c r="P147" s="1"/>
      <c r="Q147" s="4"/>
      <c r="R147" s="34"/>
      <c r="S147" s="141"/>
    </row>
    <row r="148" spans="8:19" ht="12.75">
      <c r="H148" s="35">
        <v>52</v>
      </c>
      <c r="I148" s="1" t="s">
        <v>101</v>
      </c>
      <c r="J148" s="5">
        <v>1.8069560185185185</v>
      </c>
      <c r="N148" s="1"/>
      <c r="O148" s="1"/>
      <c r="P148" s="1"/>
      <c r="Q148" s="4"/>
      <c r="R148" s="34"/>
      <c r="S148" s="142"/>
    </row>
    <row r="149" spans="8:19" ht="12.75">
      <c r="H149" s="35">
        <v>53</v>
      </c>
      <c r="I149" s="1" t="s">
        <v>90</v>
      </c>
      <c r="J149" s="28">
        <v>1.8300810185185183</v>
      </c>
      <c r="N149" s="37"/>
      <c r="O149" s="37"/>
      <c r="P149" s="38"/>
      <c r="Q149" s="39"/>
      <c r="R149" s="1"/>
      <c r="S149" s="1"/>
    </row>
    <row r="150" spans="8:19" ht="12.75">
      <c r="H150" s="35">
        <v>54</v>
      </c>
      <c r="I150" s="1" t="s">
        <v>1062</v>
      </c>
      <c r="J150" s="5">
        <v>1.8306944444444444</v>
      </c>
      <c r="N150" s="1"/>
      <c r="O150" s="1"/>
      <c r="P150" s="36"/>
      <c r="Q150" s="1"/>
      <c r="R150" s="1"/>
      <c r="S150" s="2"/>
    </row>
    <row r="151" spans="8:19" ht="12.75">
      <c r="H151" s="35">
        <v>55</v>
      </c>
      <c r="I151" s="1" t="s">
        <v>9</v>
      </c>
      <c r="J151" s="5">
        <v>1.8327546296296298</v>
      </c>
      <c r="N151" s="1"/>
      <c r="O151" s="1"/>
      <c r="P151" s="1"/>
      <c r="Q151" s="4"/>
      <c r="R151" s="1"/>
      <c r="S151" s="140"/>
    </row>
    <row r="152" spans="8:19" ht="12.75">
      <c r="H152" s="35">
        <v>56</v>
      </c>
      <c r="I152" s="65" t="s">
        <v>98</v>
      </c>
      <c r="J152" s="5">
        <v>1.834050925925926</v>
      </c>
      <c r="N152" s="1"/>
      <c r="O152" s="1"/>
      <c r="P152" s="1"/>
      <c r="Q152" s="4"/>
      <c r="R152" s="1"/>
      <c r="S152" s="141"/>
    </row>
    <row r="153" spans="8:19" ht="12.75">
      <c r="H153" s="35">
        <v>57</v>
      </c>
      <c r="I153" t="s">
        <v>23</v>
      </c>
      <c r="J153" s="5">
        <v>1.8410879629629628</v>
      </c>
      <c r="N153" s="1"/>
      <c r="O153" s="1"/>
      <c r="P153" s="1"/>
      <c r="Q153" s="4"/>
      <c r="R153" s="34"/>
      <c r="S153" s="141"/>
    </row>
    <row r="154" spans="8:19" ht="12.75">
      <c r="H154" s="35">
        <v>58</v>
      </c>
      <c r="I154" s="65" t="s">
        <v>54</v>
      </c>
      <c r="J154" s="5">
        <v>1.8432291666666665</v>
      </c>
      <c r="N154" s="1"/>
      <c r="O154" s="1"/>
      <c r="P154" s="1"/>
      <c r="Q154" s="4"/>
      <c r="R154" s="34"/>
      <c r="S154" s="141"/>
    </row>
    <row r="155" spans="8:19" ht="12.75">
      <c r="H155" s="35">
        <v>59</v>
      </c>
      <c r="I155" s="1" t="s">
        <v>97</v>
      </c>
      <c r="J155" s="5">
        <v>1.8487037037037037</v>
      </c>
      <c r="N155" s="1"/>
      <c r="O155" s="1"/>
      <c r="P155" s="1"/>
      <c r="Q155" s="4"/>
      <c r="R155" s="1"/>
      <c r="S155" s="141"/>
    </row>
    <row r="156" spans="8:19" ht="12.75">
      <c r="H156" s="35">
        <v>60</v>
      </c>
      <c r="I156" s="1" t="s">
        <v>93</v>
      </c>
      <c r="J156" s="5">
        <v>1.848726851851852</v>
      </c>
      <c r="N156" s="1"/>
      <c r="O156" s="1"/>
      <c r="P156" s="1"/>
      <c r="Q156" s="4"/>
      <c r="R156" s="1"/>
      <c r="S156" s="141"/>
    </row>
    <row r="157" spans="8:19" ht="12.75">
      <c r="H157" s="35">
        <v>61</v>
      </c>
      <c r="I157" s="35" t="s">
        <v>1057</v>
      </c>
      <c r="J157" s="5">
        <v>1.8877546296296297</v>
      </c>
      <c r="N157" s="1"/>
      <c r="O157" s="1"/>
      <c r="P157" s="1"/>
      <c r="Q157" s="4"/>
      <c r="R157" s="34"/>
      <c r="S157" s="141"/>
    </row>
    <row r="158" spans="8:19" ht="12.75">
      <c r="H158" s="35">
        <v>62</v>
      </c>
      <c r="I158" s="1" t="s">
        <v>1052</v>
      </c>
      <c r="J158" s="5">
        <v>1.9327546296296296</v>
      </c>
      <c r="N158" s="1"/>
      <c r="O158" s="1"/>
      <c r="P158" s="1"/>
      <c r="Q158" s="4"/>
      <c r="R158" s="34"/>
      <c r="S158" s="142"/>
    </row>
    <row r="159" spans="8:19" ht="12.75">
      <c r="H159" s="35">
        <v>63</v>
      </c>
      <c r="I159" s="1" t="s">
        <v>1053</v>
      </c>
      <c r="J159" s="5">
        <v>1.93625</v>
      </c>
      <c r="N159" s="37"/>
      <c r="O159" s="37"/>
      <c r="P159" s="38"/>
      <c r="Q159" s="39"/>
      <c r="R159" s="1"/>
      <c r="S159" s="1"/>
    </row>
    <row r="160" spans="8:19" ht="12.75">
      <c r="H160" s="35">
        <v>64</v>
      </c>
      <c r="I160" s="35" t="s">
        <v>1066</v>
      </c>
      <c r="J160" s="5">
        <v>1.9373263888888888</v>
      </c>
      <c r="N160" s="1"/>
      <c r="O160" s="1"/>
      <c r="P160" s="36"/>
      <c r="Q160" s="1"/>
      <c r="R160" s="1"/>
      <c r="S160" s="2"/>
    </row>
    <row r="161" spans="8:19" ht="12.75">
      <c r="H161" s="35"/>
      <c r="I161" s="35"/>
      <c r="J161" s="5"/>
      <c r="N161" s="1"/>
      <c r="O161" s="1"/>
      <c r="P161" s="1"/>
      <c r="Q161" s="4"/>
      <c r="R161" s="1"/>
      <c r="S161" s="140"/>
    </row>
    <row r="162" spans="14:19" ht="12.75">
      <c r="N162" s="1"/>
      <c r="O162" s="1"/>
      <c r="P162" s="1"/>
      <c r="Q162" s="4"/>
      <c r="R162" s="1"/>
      <c r="S162" s="141"/>
    </row>
    <row r="163" spans="14:19" ht="12.75">
      <c r="N163" s="1"/>
      <c r="O163" s="1"/>
      <c r="P163" s="1"/>
      <c r="Q163" s="4"/>
      <c r="R163" s="34"/>
      <c r="S163" s="141"/>
    </row>
    <row r="164" spans="14:19" ht="12.75">
      <c r="N164" s="1"/>
      <c r="O164" s="1"/>
      <c r="P164" s="1"/>
      <c r="Q164" s="4"/>
      <c r="R164" s="34"/>
      <c r="S164" s="141"/>
    </row>
    <row r="165" spans="14:19" ht="12.75">
      <c r="N165" s="1"/>
      <c r="O165" s="1"/>
      <c r="P165" s="1"/>
      <c r="Q165" s="4"/>
      <c r="R165" s="1"/>
      <c r="S165" s="141"/>
    </row>
    <row r="166" spans="14:19" ht="12.75">
      <c r="N166" s="1"/>
      <c r="O166" s="1"/>
      <c r="P166" s="1"/>
      <c r="Q166" s="4"/>
      <c r="R166" s="1"/>
      <c r="S166" s="141"/>
    </row>
    <row r="167" spans="14:19" ht="12.75">
      <c r="N167" s="1"/>
      <c r="O167" s="1"/>
      <c r="P167" s="1"/>
      <c r="Q167" s="4"/>
      <c r="R167" s="34"/>
      <c r="S167" s="141"/>
    </row>
    <row r="168" spans="14:19" ht="12.75">
      <c r="N168" s="1"/>
      <c r="O168" s="1"/>
      <c r="P168" s="1"/>
      <c r="Q168" s="4"/>
      <c r="R168" s="34"/>
      <c r="S168" s="142"/>
    </row>
    <row r="169" spans="14:19" ht="12.75">
      <c r="N169" s="37"/>
      <c r="O169" s="37"/>
      <c r="P169" s="38"/>
      <c r="Q169" s="39"/>
      <c r="R169" s="1"/>
      <c r="S169" s="1"/>
    </row>
    <row r="171" ht="12.75">
      <c r="P171" s="40"/>
    </row>
    <row r="172" spans="14:19" ht="12.75">
      <c r="N172" s="1"/>
      <c r="O172" s="1"/>
      <c r="P172" s="36"/>
      <c r="Q172" s="1"/>
      <c r="R172" s="1"/>
      <c r="S172" s="2"/>
    </row>
    <row r="173" spans="14:19" ht="12.75">
      <c r="N173" s="1"/>
      <c r="O173" s="1"/>
      <c r="P173" s="1"/>
      <c r="Q173" s="4"/>
      <c r="R173" s="1"/>
      <c r="S173" s="140"/>
    </row>
    <row r="174" spans="14:19" ht="12.75">
      <c r="N174" s="1"/>
      <c r="O174" s="1"/>
      <c r="P174" s="1"/>
      <c r="Q174" s="4"/>
      <c r="R174" s="1"/>
      <c r="S174" s="141"/>
    </row>
    <row r="175" spans="14:19" ht="12.75">
      <c r="N175" s="1"/>
      <c r="O175" s="1"/>
      <c r="P175" s="1"/>
      <c r="Q175" s="4"/>
      <c r="R175" s="34"/>
      <c r="S175" s="141"/>
    </row>
    <row r="176" spans="14:19" ht="12.75">
      <c r="N176" s="1"/>
      <c r="O176" s="1"/>
      <c r="P176" s="1"/>
      <c r="Q176" s="4"/>
      <c r="R176" s="34"/>
      <c r="S176" s="141"/>
    </row>
    <row r="177" spans="14:19" ht="12.75">
      <c r="N177" s="1"/>
      <c r="O177" s="1"/>
      <c r="P177" s="1"/>
      <c r="Q177" s="4"/>
      <c r="R177" s="1"/>
      <c r="S177" s="141"/>
    </row>
    <row r="178" spans="14:19" ht="12.75">
      <c r="N178" s="1"/>
      <c r="O178" s="1"/>
      <c r="P178" s="1"/>
      <c r="Q178" s="4"/>
      <c r="R178" s="1"/>
      <c r="S178" s="141"/>
    </row>
    <row r="179" spans="14:19" ht="12.75">
      <c r="N179" s="1"/>
      <c r="O179" s="1"/>
      <c r="P179" s="1"/>
      <c r="Q179" s="4"/>
      <c r="R179" s="34"/>
      <c r="S179" s="141"/>
    </row>
    <row r="180" spans="14:19" ht="12.75">
      <c r="N180" s="1"/>
      <c r="O180" s="1"/>
      <c r="P180" s="1"/>
      <c r="Q180" s="4"/>
      <c r="R180" s="34"/>
      <c r="S180" s="142"/>
    </row>
    <row r="181" spans="14:19" ht="12.75">
      <c r="N181" s="37"/>
      <c r="O181" s="37"/>
      <c r="P181" s="38"/>
      <c r="Q181" s="39"/>
      <c r="R181" s="1"/>
      <c r="S181" s="1"/>
    </row>
    <row r="182" spans="14:19" ht="12.75">
      <c r="N182" s="1"/>
      <c r="O182" s="1"/>
      <c r="P182" s="36"/>
      <c r="Q182" s="1"/>
      <c r="R182" s="1"/>
      <c r="S182" s="2"/>
    </row>
    <row r="183" spans="14:19" ht="12.75">
      <c r="N183" s="1"/>
      <c r="O183" s="1"/>
      <c r="P183" s="1"/>
      <c r="Q183" s="4"/>
      <c r="R183" s="1"/>
      <c r="S183" s="140"/>
    </row>
    <row r="184" spans="14:19" ht="12.75">
      <c r="N184" s="1"/>
      <c r="O184" s="1"/>
      <c r="P184" s="1"/>
      <c r="Q184" s="4"/>
      <c r="R184" s="1"/>
      <c r="S184" s="141"/>
    </row>
    <row r="185" spans="14:19" ht="12.75">
      <c r="N185" s="1"/>
      <c r="O185" s="1"/>
      <c r="P185" s="1"/>
      <c r="Q185" s="4"/>
      <c r="R185" s="34"/>
      <c r="S185" s="141"/>
    </row>
    <row r="186" spans="14:19" ht="12.75">
      <c r="N186" s="1"/>
      <c r="O186" s="1"/>
      <c r="P186" s="1"/>
      <c r="Q186" s="4"/>
      <c r="R186" s="34"/>
      <c r="S186" s="141"/>
    </row>
    <row r="187" spans="14:19" ht="12.75">
      <c r="N187" s="1"/>
      <c r="O187" s="1"/>
      <c r="P187" s="1"/>
      <c r="Q187" s="4"/>
      <c r="R187" s="1"/>
      <c r="S187" s="141"/>
    </row>
    <row r="188" spans="14:19" ht="12.75">
      <c r="N188" s="1"/>
      <c r="O188" s="1"/>
      <c r="P188" s="1"/>
      <c r="Q188" s="4"/>
      <c r="R188" s="1"/>
      <c r="S188" s="141"/>
    </row>
    <row r="189" spans="14:19" ht="12.75">
      <c r="N189" s="1"/>
      <c r="O189" s="1"/>
      <c r="P189" s="1"/>
      <c r="Q189" s="4"/>
      <c r="R189" s="34"/>
      <c r="S189" s="141"/>
    </row>
    <row r="190" spans="14:19" ht="12.75">
      <c r="N190" s="1"/>
      <c r="O190" s="1"/>
      <c r="P190" s="1"/>
      <c r="Q190" s="4"/>
      <c r="R190" s="34"/>
      <c r="S190" s="142"/>
    </row>
    <row r="191" spans="14:19" ht="12.75">
      <c r="N191" s="37"/>
      <c r="O191" s="37"/>
      <c r="P191" s="38"/>
      <c r="Q191" s="39"/>
      <c r="R191" s="1"/>
      <c r="S191" s="1"/>
    </row>
    <row r="192" spans="14:19" ht="12.75">
      <c r="N192" s="1"/>
      <c r="O192" s="1"/>
      <c r="P192" s="36"/>
      <c r="Q192" s="1"/>
      <c r="R192" s="1"/>
      <c r="S192" s="2"/>
    </row>
    <row r="193" spans="14:19" ht="12.75">
      <c r="N193" s="1"/>
      <c r="O193" s="1"/>
      <c r="P193" s="1"/>
      <c r="Q193" s="4"/>
      <c r="R193" s="1"/>
      <c r="S193" s="140"/>
    </row>
    <row r="194" spans="14:19" ht="12.75">
      <c r="N194" s="1"/>
      <c r="O194" s="1"/>
      <c r="P194" s="1"/>
      <c r="Q194" s="4"/>
      <c r="R194" s="1"/>
      <c r="S194" s="141"/>
    </row>
    <row r="195" spans="14:19" ht="12.75">
      <c r="N195" s="1"/>
      <c r="O195" s="1"/>
      <c r="P195" s="1"/>
      <c r="Q195" s="4"/>
      <c r="R195" s="34"/>
      <c r="S195" s="141"/>
    </row>
    <row r="196" spans="14:19" ht="12.75">
      <c r="N196" s="1"/>
      <c r="O196" s="1"/>
      <c r="P196" s="1"/>
      <c r="Q196" s="4"/>
      <c r="R196" s="34"/>
      <c r="S196" s="141"/>
    </row>
    <row r="197" spans="14:19" ht="12.75">
      <c r="N197" s="1"/>
      <c r="O197" s="1"/>
      <c r="P197" s="1"/>
      <c r="Q197" s="4"/>
      <c r="R197" s="1"/>
      <c r="S197" s="141"/>
    </row>
    <row r="198" spans="14:19" ht="12.75">
      <c r="N198" s="1"/>
      <c r="O198" s="1"/>
      <c r="P198" s="1"/>
      <c r="Q198" s="4"/>
      <c r="R198" s="1"/>
      <c r="S198" s="141"/>
    </row>
    <row r="199" spans="14:19" ht="12.75">
      <c r="N199" s="1"/>
      <c r="O199" s="1"/>
      <c r="P199" s="1"/>
      <c r="Q199" s="4"/>
      <c r="R199" s="34"/>
      <c r="S199" s="141"/>
    </row>
    <row r="200" spans="14:19" ht="12.75">
      <c r="N200" s="1"/>
      <c r="O200" s="1"/>
      <c r="P200" s="1"/>
      <c r="Q200" s="4"/>
      <c r="R200" s="34"/>
      <c r="S200" s="142"/>
    </row>
    <row r="201" spans="14:19" ht="12.75">
      <c r="N201" s="37"/>
      <c r="O201" s="37"/>
      <c r="P201" s="38"/>
      <c r="Q201" s="39"/>
      <c r="R201" s="1"/>
      <c r="S201" s="1"/>
    </row>
    <row r="202" spans="14:19" ht="12.75">
      <c r="N202" s="1"/>
      <c r="O202" s="1"/>
      <c r="P202" s="36"/>
      <c r="Q202" s="1"/>
      <c r="R202" s="1"/>
      <c r="S202" s="2"/>
    </row>
    <row r="203" spans="14:19" ht="12.75">
      <c r="N203" s="1"/>
      <c r="O203" s="1"/>
      <c r="P203" s="1"/>
      <c r="Q203" s="4"/>
      <c r="R203" s="1"/>
      <c r="S203" s="140"/>
    </row>
    <row r="204" spans="14:19" ht="12.75">
      <c r="N204" s="1"/>
      <c r="O204" s="1"/>
      <c r="P204" s="1"/>
      <c r="Q204" s="4"/>
      <c r="R204" s="1"/>
      <c r="S204" s="141"/>
    </row>
    <row r="205" spans="14:19" ht="12.75">
      <c r="N205" s="1"/>
      <c r="O205" s="1"/>
      <c r="P205" s="1"/>
      <c r="Q205" s="4"/>
      <c r="R205" s="34"/>
      <c r="S205" s="141"/>
    </row>
    <row r="206" spans="14:19" ht="12.75">
      <c r="N206" s="1"/>
      <c r="O206" s="1"/>
      <c r="P206" s="1"/>
      <c r="Q206" s="4"/>
      <c r="R206" s="34"/>
      <c r="S206" s="141"/>
    </row>
    <row r="207" spans="14:19" ht="12.75">
      <c r="N207" s="1"/>
      <c r="O207" s="1"/>
      <c r="P207" s="1"/>
      <c r="Q207" s="4"/>
      <c r="R207" s="1"/>
      <c r="S207" s="141"/>
    </row>
    <row r="208" spans="14:19" ht="12.75">
      <c r="N208" s="1"/>
      <c r="O208" s="1"/>
      <c r="P208" s="1"/>
      <c r="Q208" s="4"/>
      <c r="R208" s="1"/>
      <c r="S208" s="141"/>
    </row>
    <row r="209" spans="14:19" ht="12.75">
      <c r="N209" s="1"/>
      <c r="O209" s="1"/>
      <c r="P209" s="1"/>
      <c r="Q209" s="4"/>
      <c r="R209" s="34"/>
      <c r="S209" s="141"/>
    </row>
    <row r="210" spans="14:19" ht="12.75">
      <c r="N210" s="1"/>
      <c r="O210" s="1"/>
      <c r="P210" s="1"/>
      <c r="Q210" s="4"/>
      <c r="R210" s="34"/>
      <c r="S210" s="142"/>
    </row>
    <row r="211" spans="14:19" ht="12.75">
      <c r="N211" s="37"/>
      <c r="O211" s="37"/>
      <c r="P211" s="38"/>
      <c r="Q211" s="39"/>
      <c r="R211" s="1"/>
      <c r="S211" s="1"/>
    </row>
    <row r="212" spans="14:19" ht="12.75">
      <c r="N212" s="1"/>
      <c r="O212" s="1"/>
      <c r="P212" s="36"/>
      <c r="Q212" s="1"/>
      <c r="R212" s="1"/>
      <c r="S212" s="2"/>
    </row>
    <row r="213" spans="14:19" ht="12.75">
      <c r="N213" s="1"/>
      <c r="O213" s="1"/>
      <c r="P213" s="1"/>
      <c r="Q213" s="4"/>
      <c r="R213" s="1"/>
      <c r="S213" s="140"/>
    </row>
    <row r="214" spans="14:19" ht="12.75">
      <c r="N214" s="1"/>
      <c r="O214" s="1"/>
      <c r="P214" s="1"/>
      <c r="Q214" s="4"/>
      <c r="R214" s="1"/>
      <c r="S214" s="141"/>
    </row>
    <row r="215" spans="14:19" ht="12.75">
      <c r="N215" s="1"/>
      <c r="O215" s="1"/>
      <c r="P215" s="1"/>
      <c r="Q215" s="4"/>
      <c r="R215" s="34"/>
      <c r="S215" s="141"/>
    </row>
    <row r="216" spans="14:19" ht="12.75">
      <c r="N216" s="1"/>
      <c r="O216" s="1"/>
      <c r="P216" s="1"/>
      <c r="Q216" s="4"/>
      <c r="R216" s="34"/>
      <c r="S216" s="141"/>
    </row>
    <row r="217" spans="14:19" ht="12.75">
      <c r="N217" s="1"/>
      <c r="O217" s="1"/>
      <c r="P217" s="1"/>
      <c r="Q217" s="4"/>
      <c r="R217" s="1"/>
      <c r="S217" s="141"/>
    </row>
    <row r="218" spans="14:19" ht="12.75">
      <c r="N218" s="1"/>
      <c r="O218" s="1"/>
      <c r="P218" s="1"/>
      <c r="Q218" s="4"/>
      <c r="R218" s="1"/>
      <c r="S218" s="141"/>
    </row>
    <row r="219" spans="14:19" ht="12.75">
      <c r="N219" s="1"/>
      <c r="O219" s="1"/>
      <c r="P219" s="1"/>
      <c r="Q219" s="4"/>
      <c r="R219" s="34"/>
      <c r="S219" s="141"/>
    </row>
    <row r="220" spans="14:19" ht="12.75">
      <c r="N220" s="1"/>
      <c r="O220" s="1"/>
      <c r="P220" s="1"/>
      <c r="Q220" s="4"/>
      <c r="R220" s="34"/>
      <c r="S220" s="142"/>
    </row>
    <row r="221" spans="14:19" ht="12.75">
      <c r="N221" s="37"/>
      <c r="O221" s="37"/>
      <c r="P221" s="38"/>
      <c r="Q221" s="39"/>
      <c r="R221" s="1"/>
      <c r="S221" s="1"/>
    </row>
    <row r="222" spans="14:19" ht="12.75">
      <c r="N222" s="1"/>
      <c r="O222" s="1"/>
      <c r="P222" s="36"/>
      <c r="Q222" s="1"/>
      <c r="R222" s="1"/>
      <c r="S222" s="2"/>
    </row>
    <row r="223" spans="14:19" ht="12.75">
      <c r="N223" s="1"/>
      <c r="O223" s="1"/>
      <c r="P223" s="1"/>
      <c r="Q223" s="4"/>
      <c r="R223" s="1"/>
      <c r="S223" s="140"/>
    </row>
    <row r="224" spans="14:19" ht="12.75">
      <c r="N224" s="1"/>
      <c r="O224" s="1"/>
      <c r="P224" s="1"/>
      <c r="Q224" s="4"/>
      <c r="R224" s="1"/>
      <c r="S224" s="141"/>
    </row>
    <row r="225" spans="14:19" ht="12.75">
      <c r="N225" s="1"/>
      <c r="O225" s="1"/>
      <c r="P225" s="1"/>
      <c r="Q225" s="4"/>
      <c r="R225" s="34"/>
      <c r="S225" s="141"/>
    </row>
    <row r="226" spans="14:19" ht="12.75">
      <c r="N226" s="1"/>
      <c r="O226" s="1"/>
      <c r="P226" s="1"/>
      <c r="Q226" s="4"/>
      <c r="R226" s="34"/>
      <c r="S226" s="141"/>
    </row>
    <row r="227" spans="14:19" ht="12.75">
      <c r="N227" s="1"/>
      <c r="O227" s="1"/>
      <c r="P227" s="1"/>
      <c r="Q227" s="4"/>
      <c r="R227" s="1"/>
      <c r="S227" s="141"/>
    </row>
    <row r="228" spans="14:19" ht="12.75">
      <c r="N228" s="1"/>
      <c r="O228" s="1"/>
      <c r="P228" s="1"/>
      <c r="Q228" s="4"/>
      <c r="R228" s="1"/>
      <c r="S228" s="141"/>
    </row>
    <row r="229" spans="14:19" ht="12.75">
      <c r="N229" s="1"/>
      <c r="O229" s="1"/>
      <c r="P229" s="1"/>
      <c r="Q229" s="4"/>
      <c r="R229" s="34"/>
      <c r="S229" s="141"/>
    </row>
    <row r="230" spans="14:19" ht="12.75">
      <c r="N230" s="1"/>
      <c r="O230" s="1"/>
      <c r="P230" s="1"/>
      <c r="Q230" s="4"/>
      <c r="R230" s="34"/>
      <c r="S230" s="142"/>
    </row>
    <row r="231" spans="14:19" ht="12.75">
      <c r="N231" s="37"/>
      <c r="O231" s="37"/>
      <c r="P231" s="38"/>
      <c r="Q231" s="39"/>
      <c r="R231" s="1"/>
      <c r="S231" s="1"/>
    </row>
    <row r="232" spans="14:19" ht="12.75">
      <c r="N232" s="1"/>
      <c r="O232" s="1"/>
      <c r="P232" s="36"/>
      <c r="Q232" s="1"/>
      <c r="R232" s="1"/>
      <c r="S232" s="2"/>
    </row>
    <row r="233" spans="14:19" ht="12.75">
      <c r="N233" s="1"/>
      <c r="O233" s="1"/>
      <c r="P233" s="1"/>
      <c r="Q233" s="4"/>
      <c r="R233" s="1"/>
      <c r="S233" s="140"/>
    </row>
    <row r="234" spans="10:19" ht="12.75">
      <c r="J234" s="146"/>
      <c r="K234" s="146"/>
      <c r="L234" s="22"/>
      <c r="N234" s="1"/>
      <c r="O234" s="1"/>
      <c r="P234" s="1"/>
      <c r="Q234" s="4"/>
      <c r="R234" s="1"/>
      <c r="S234" s="141"/>
    </row>
    <row r="235" spans="10:19" ht="12.75">
      <c r="J235" s="146"/>
      <c r="K235" s="146"/>
      <c r="L235" s="22"/>
      <c r="N235" s="1"/>
      <c r="O235" s="1"/>
      <c r="P235" s="1"/>
      <c r="Q235" s="4"/>
      <c r="R235" s="34"/>
      <c r="S235" s="141"/>
    </row>
    <row r="236" spans="10:19" ht="12.75">
      <c r="J236" s="146"/>
      <c r="K236" s="146"/>
      <c r="L236" s="22"/>
      <c r="N236" s="1"/>
      <c r="O236" s="1"/>
      <c r="P236" s="1"/>
      <c r="Q236" s="4"/>
      <c r="R236" s="34"/>
      <c r="S236" s="141"/>
    </row>
    <row r="237" spans="10:19" ht="12.75">
      <c r="J237" s="146"/>
      <c r="K237" s="146"/>
      <c r="L237" s="22"/>
      <c r="N237" s="1"/>
      <c r="O237" s="1"/>
      <c r="P237" s="1"/>
      <c r="Q237" s="4"/>
      <c r="R237" s="1"/>
      <c r="S237" s="141"/>
    </row>
    <row r="238" spans="10:19" ht="12.75">
      <c r="J238" s="146"/>
      <c r="K238" s="146"/>
      <c r="L238" s="22"/>
      <c r="N238" s="1"/>
      <c r="O238" s="1"/>
      <c r="P238" s="1"/>
      <c r="Q238" s="4"/>
      <c r="R238" s="1"/>
      <c r="S238" s="141"/>
    </row>
    <row r="239" spans="14:19" ht="12.75">
      <c r="N239" s="1"/>
      <c r="O239" s="1"/>
      <c r="P239" s="1"/>
      <c r="Q239" s="4"/>
      <c r="R239" s="34"/>
      <c r="S239" s="141"/>
    </row>
    <row r="240" spans="14:19" ht="12.75">
      <c r="N240" s="1"/>
      <c r="O240" s="1"/>
      <c r="P240" s="1"/>
      <c r="Q240" s="4"/>
      <c r="R240" s="34"/>
      <c r="S240" s="142"/>
    </row>
    <row r="241" spans="14:19" ht="12.75">
      <c r="N241" s="37"/>
      <c r="O241" s="37"/>
      <c r="P241" s="38"/>
      <c r="Q241" s="39"/>
      <c r="R241" s="1"/>
      <c r="S241" s="1"/>
    </row>
    <row r="242" spans="14:19" ht="12.75">
      <c r="N242" s="1"/>
      <c r="O242" s="1"/>
      <c r="P242" s="36"/>
      <c r="Q242" s="1"/>
      <c r="R242" s="1"/>
      <c r="S242" s="2"/>
    </row>
    <row r="243" spans="14:19" ht="12.75">
      <c r="N243" s="1"/>
      <c r="O243" s="1"/>
      <c r="P243" s="1"/>
      <c r="Q243" s="4"/>
      <c r="R243" s="1"/>
      <c r="S243" s="140"/>
    </row>
    <row r="244" spans="14:19" ht="12.75">
      <c r="N244" s="1"/>
      <c r="O244" s="1"/>
      <c r="P244" s="1"/>
      <c r="Q244" s="4"/>
      <c r="R244" s="1"/>
      <c r="S244" s="141"/>
    </row>
    <row r="245" spans="14:19" ht="12.75">
      <c r="N245" s="1"/>
      <c r="O245" s="1"/>
      <c r="P245" s="1"/>
      <c r="Q245" s="4"/>
      <c r="R245" s="34"/>
      <c r="S245" s="141"/>
    </row>
    <row r="246" spans="14:19" ht="12.75">
      <c r="N246" s="1"/>
      <c r="O246" s="1"/>
      <c r="P246" s="1"/>
      <c r="Q246" s="4"/>
      <c r="R246" s="34"/>
      <c r="S246" s="141"/>
    </row>
    <row r="247" spans="14:19" ht="12.75">
      <c r="N247" s="1"/>
      <c r="O247" s="1"/>
      <c r="P247" s="1"/>
      <c r="Q247" s="4"/>
      <c r="R247" s="1"/>
      <c r="S247" s="141"/>
    </row>
    <row r="248" spans="14:19" ht="12.75">
      <c r="N248" s="1"/>
      <c r="O248" s="1"/>
      <c r="P248" s="1"/>
      <c r="Q248" s="4"/>
      <c r="R248" s="1"/>
      <c r="S248" s="141"/>
    </row>
    <row r="249" spans="14:19" ht="12.75">
      <c r="N249" s="1"/>
      <c r="O249" s="1"/>
      <c r="P249" s="1"/>
      <c r="Q249" s="4"/>
      <c r="R249" s="34"/>
      <c r="S249" s="141"/>
    </row>
    <row r="250" spans="14:19" ht="12.75">
      <c r="N250" s="1"/>
      <c r="O250" s="1"/>
      <c r="P250" s="1"/>
      <c r="Q250" s="4"/>
      <c r="R250" s="34"/>
      <c r="S250" s="142"/>
    </row>
    <row r="251" spans="14:19" ht="12.75">
      <c r="N251" s="37"/>
      <c r="O251" s="37"/>
      <c r="P251" s="38"/>
      <c r="Q251" s="39"/>
      <c r="R251" s="1"/>
      <c r="S251" s="1"/>
    </row>
    <row r="253" ht="12.75">
      <c r="P253" s="40"/>
    </row>
    <row r="254" spans="14:19" ht="12.75">
      <c r="N254" s="1"/>
      <c r="O254" s="1"/>
      <c r="P254" s="36"/>
      <c r="Q254" s="1"/>
      <c r="R254" s="1"/>
      <c r="S254" s="2"/>
    </row>
    <row r="255" spans="14:19" ht="12.75">
      <c r="N255" s="1"/>
      <c r="O255" s="1"/>
      <c r="P255" s="1"/>
      <c r="Q255" s="4"/>
      <c r="R255" s="1"/>
      <c r="S255" s="140"/>
    </row>
    <row r="256" spans="14:19" ht="12.75">
      <c r="N256" s="1"/>
      <c r="O256" s="1"/>
      <c r="P256" s="1"/>
      <c r="Q256" s="4"/>
      <c r="R256" s="1"/>
      <c r="S256" s="141"/>
    </row>
    <row r="257" spans="14:19" ht="12.75">
      <c r="N257" s="1"/>
      <c r="O257" s="1"/>
      <c r="P257" s="1"/>
      <c r="Q257" s="4"/>
      <c r="R257" s="34"/>
      <c r="S257" s="141"/>
    </row>
    <row r="258" spans="14:19" ht="12.75">
      <c r="N258" s="1"/>
      <c r="O258" s="1"/>
      <c r="P258" s="1"/>
      <c r="Q258" s="4"/>
      <c r="R258" s="34"/>
      <c r="S258" s="141"/>
    </row>
    <row r="259" spans="14:19" ht="12.75">
      <c r="N259" s="1"/>
      <c r="O259" s="1"/>
      <c r="P259" s="1"/>
      <c r="Q259" s="4"/>
      <c r="R259" s="1"/>
      <c r="S259" s="141"/>
    </row>
    <row r="260" spans="14:19" ht="12.75">
      <c r="N260" s="1"/>
      <c r="O260" s="1"/>
      <c r="P260" s="1"/>
      <c r="Q260" s="4"/>
      <c r="R260" s="1"/>
      <c r="S260" s="141"/>
    </row>
    <row r="261" spans="14:19" ht="12.75">
      <c r="N261" s="1"/>
      <c r="O261" s="1"/>
      <c r="P261" s="1"/>
      <c r="Q261" s="4"/>
      <c r="R261" s="34"/>
      <c r="S261" s="141"/>
    </row>
    <row r="262" spans="14:19" ht="12.75">
      <c r="N262" s="1"/>
      <c r="O262" s="1"/>
      <c r="P262" s="1"/>
      <c r="Q262" s="4"/>
      <c r="R262" s="34"/>
      <c r="S262" s="142"/>
    </row>
    <row r="263" spans="14:19" ht="12.75">
      <c r="N263" s="37"/>
      <c r="O263" s="37"/>
      <c r="P263" s="38"/>
      <c r="Q263" s="39"/>
      <c r="R263" s="1"/>
      <c r="S263" s="1"/>
    </row>
    <row r="264" spans="14:19" ht="12.75">
      <c r="N264" s="1"/>
      <c r="O264" s="1"/>
      <c r="P264" s="36"/>
      <c r="Q264" s="1"/>
      <c r="R264" s="1"/>
      <c r="S264" s="2"/>
    </row>
    <row r="265" spans="14:19" ht="12.75">
      <c r="N265" s="1"/>
      <c r="O265" s="1"/>
      <c r="P265" s="1"/>
      <c r="Q265" s="4"/>
      <c r="R265" s="1"/>
      <c r="S265" s="140"/>
    </row>
    <row r="266" spans="14:19" ht="12.75">
      <c r="N266" s="1"/>
      <c r="O266" s="1"/>
      <c r="P266" s="1"/>
      <c r="Q266" s="4"/>
      <c r="R266" s="1"/>
      <c r="S266" s="141"/>
    </row>
    <row r="267" spans="14:19" ht="12.75">
      <c r="N267" s="1"/>
      <c r="O267" s="1"/>
      <c r="P267" s="1"/>
      <c r="Q267" s="4"/>
      <c r="R267" s="34"/>
      <c r="S267" s="141"/>
    </row>
    <row r="268" spans="14:19" ht="12.75">
      <c r="N268" s="1"/>
      <c r="O268" s="1"/>
      <c r="P268" s="1"/>
      <c r="Q268" s="4"/>
      <c r="R268" s="34"/>
      <c r="S268" s="141"/>
    </row>
    <row r="269" spans="14:19" ht="12.75">
      <c r="N269" s="1"/>
      <c r="O269" s="1"/>
      <c r="P269" s="1"/>
      <c r="Q269" s="4"/>
      <c r="R269" s="1"/>
      <c r="S269" s="141"/>
    </row>
    <row r="270" spans="14:19" ht="12.75">
      <c r="N270" s="1"/>
      <c r="O270" s="1"/>
      <c r="P270" s="1"/>
      <c r="Q270" s="4"/>
      <c r="R270" s="1"/>
      <c r="S270" s="141"/>
    </row>
    <row r="271" spans="14:19" ht="12.75">
      <c r="N271" s="1"/>
      <c r="O271" s="1"/>
      <c r="P271" s="1"/>
      <c r="Q271" s="4"/>
      <c r="R271" s="34"/>
      <c r="S271" s="141"/>
    </row>
    <row r="272" spans="14:19" ht="12.75">
      <c r="N272" s="1"/>
      <c r="O272" s="1"/>
      <c r="P272" s="1"/>
      <c r="Q272" s="4"/>
      <c r="R272" s="34"/>
      <c r="S272" s="142"/>
    </row>
    <row r="273" spans="14:19" ht="12.75">
      <c r="N273" s="37"/>
      <c r="O273" s="37"/>
      <c r="P273" s="38"/>
      <c r="Q273" s="39"/>
      <c r="R273" s="1"/>
      <c r="S273" s="1"/>
    </row>
    <row r="274" spans="14:19" ht="12.75">
      <c r="N274" s="1"/>
      <c r="O274" s="1"/>
      <c r="P274" s="36"/>
      <c r="Q274" s="1"/>
      <c r="R274" s="1"/>
      <c r="S274" s="2"/>
    </row>
    <row r="275" spans="14:19" ht="12.75">
      <c r="N275" s="1"/>
      <c r="O275" s="1"/>
      <c r="P275" s="1"/>
      <c r="Q275" s="4"/>
      <c r="R275" s="1"/>
      <c r="S275" s="140"/>
    </row>
    <row r="276" spans="14:19" ht="12.75">
      <c r="N276" s="1"/>
      <c r="O276" s="1"/>
      <c r="P276" s="1"/>
      <c r="Q276" s="4"/>
      <c r="R276" s="1"/>
      <c r="S276" s="141"/>
    </row>
    <row r="277" spans="14:19" ht="12.75">
      <c r="N277" s="1"/>
      <c r="O277" s="1"/>
      <c r="P277" s="1"/>
      <c r="Q277" s="4"/>
      <c r="R277" s="34"/>
      <c r="S277" s="141"/>
    </row>
    <row r="278" spans="14:19" ht="12.75">
      <c r="N278" s="1"/>
      <c r="O278" s="1"/>
      <c r="P278" s="1"/>
      <c r="Q278" s="4"/>
      <c r="R278" s="34"/>
      <c r="S278" s="141"/>
    </row>
    <row r="279" spans="14:19" ht="12.75">
      <c r="N279" s="1"/>
      <c r="O279" s="1"/>
      <c r="P279" s="1"/>
      <c r="Q279" s="4"/>
      <c r="R279" s="1"/>
      <c r="S279" s="141"/>
    </row>
    <row r="280" spans="14:19" ht="12.75">
      <c r="N280" s="1"/>
      <c r="O280" s="1"/>
      <c r="P280" s="1"/>
      <c r="Q280" s="4"/>
      <c r="R280" s="1"/>
      <c r="S280" s="141"/>
    </row>
    <row r="281" spans="14:19" ht="12.75">
      <c r="N281" s="1"/>
      <c r="O281" s="1"/>
      <c r="P281" s="1"/>
      <c r="Q281" s="4"/>
      <c r="R281" s="34"/>
      <c r="S281" s="141"/>
    </row>
    <row r="282" spans="14:19" ht="12.75">
      <c r="N282" s="1"/>
      <c r="O282" s="1"/>
      <c r="P282" s="1"/>
      <c r="Q282" s="4"/>
      <c r="R282" s="34"/>
      <c r="S282" s="142"/>
    </row>
    <row r="283" spans="14:19" ht="12.75">
      <c r="N283" s="37"/>
      <c r="O283" s="37"/>
      <c r="P283" s="38"/>
      <c r="Q283" s="39"/>
      <c r="R283" s="1"/>
      <c r="S283" s="1"/>
    </row>
    <row r="284" spans="14:19" ht="12.75">
      <c r="N284" s="1"/>
      <c r="O284" s="1"/>
      <c r="P284" s="36"/>
      <c r="Q284" s="1"/>
      <c r="R284" s="1"/>
      <c r="S284" s="2"/>
    </row>
    <row r="285" spans="14:19" ht="12.75">
      <c r="N285" s="1"/>
      <c r="O285" s="1"/>
      <c r="P285" s="1"/>
      <c r="Q285" s="4"/>
      <c r="R285" s="1"/>
      <c r="S285" s="140"/>
    </row>
    <row r="286" spans="14:19" ht="12.75">
      <c r="N286" s="1"/>
      <c r="O286" s="1"/>
      <c r="P286" s="1"/>
      <c r="Q286" s="4"/>
      <c r="R286" s="1"/>
      <c r="S286" s="141"/>
    </row>
    <row r="287" spans="14:19" ht="12.75">
      <c r="N287" s="1"/>
      <c r="O287" s="1"/>
      <c r="P287" s="1"/>
      <c r="Q287" s="4"/>
      <c r="R287" s="34"/>
      <c r="S287" s="141"/>
    </row>
    <row r="288" spans="14:19" ht="12.75">
      <c r="N288" s="1"/>
      <c r="O288" s="1"/>
      <c r="P288" s="1"/>
      <c r="Q288" s="4"/>
      <c r="R288" s="34"/>
      <c r="S288" s="141"/>
    </row>
    <row r="289" spans="14:19" ht="12.75">
      <c r="N289" s="1"/>
      <c r="O289" s="1"/>
      <c r="P289" s="1"/>
      <c r="Q289" s="4"/>
      <c r="R289" s="1"/>
      <c r="S289" s="141"/>
    </row>
    <row r="290" spans="14:19" ht="12.75">
      <c r="N290" s="1"/>
      <c r="O290" s="1"/>
      <c r="P290" s="1"/>
      <c r="Q290" s="4"/>
      <c r="R290" s="1"/>
      <c r="S290" s="141"/>
    </row>
    <row r="291" spans="14:19" ht="12.75">
      <c r="N291" s="1"/>
      <c r="O291" s="1"/>
      <c r="P291" s="1"/>
      <c r="Q291" s="4"/>
      <c r="R291" s="34"/>
      <c r="S291" s="141"/>
    </row>
    <row r="292" spans="14:19" ht="12.75">
      <c r="N292" s="1"/>
      <c r="O292" s="1"/>
      <c r="P292" s="1"/>
      <c r="Q292" s="4"/>
      <c r="R292" s="34"/>
      <c r="S292" s="142"/>
    </row>
    <row r="293" spans="14:19" ht="12.75">
      <c r="N293" s="37"/>
      <c r="O293" s="37"/>
      <c r="P293" s="38"/>
      <c r="Q293" s="39"/>
      <c r="R293" s="1"/>
      <c r="S293" s="1"/>
    </row>
    <row r="294" spans="14:19" ht="12.75">
      <c r="N294" s="1"/>
      <c r="O294" s="1"/>
      <c r="P294" s="36"/>
      <c r="Q294" s="1"/>
      <c r="R294" s="1"/>
      <c r="S294" s="2"/>
    </row>
    <row r="295" spans="14:19" ht="12.75">
      <c r="N295" s="1"/>
      <c r="O295" s="1"/>
      <c r="P295" s="1"/>
      <c r="Q295" s="4"/>
      <c r="R295" s="1"/>
      <c r="S295" s="140"/>
    </row>
    <row r="296" spans="14:19" ht="12.75">
      <c r="N296" s="1"/>
      <c r="O296" s="1"/>
      <c r="P296" s="1"/>
      <c r="Q296" s="4"/>
      <c r="R296" s="1"/>
      <c r="S296" s="141"/>
    </row>
    <row r="297" spans="14:19" ht="12.75">
      <c r="N297" s="1"/>
      <c r="O297" s="1"/>
      <c r="P297" s="1"/>
      <c r="Q297" s="4"/>
      <c r="R297" s="34"/>
      <c r="S297" s="141"/>
    </row>
    <row r="298" spans="14:19" ht="12.75">
      <c r="N298" s="1"/>
      <c r="O298" s="1"/>
      <c r="P298" s="1"/>
      <c r="Q298" s="4"/>
      <c r="R298" s="34"/>
      <c r="S298" s="141"/>
    </row>
    <row r="299" spans="14:19" ht="12.75">
      <c r="N299" s="1"/>
      <c r="O299" s="1"/>
      <c r="P299" s="1"/>
      <c r="Q299" s="4"/>
      <c r="R299" s="1"/>
      <c r="S299" s="141"/>
    </row>
    <row r="300" spans="14:19" ht="12.75">
      <c r="N300" s="1"/>
      <c r="O300" s="1"/>
      <c r="P300" s="1"/>
      <c r="Q300" s="4"/>
      <c r="R300" s="1"/>
      <c r="S300" s="141"/>
    </row>
    <row r="301" spans="14:19" ht="12.75">
      <c r="N301" s="1"/>
      <c r="O301" s="1"/>
      <c r="P301" s="1"/>
      <c r="Q301" s="4"/>
      <c r="R301" s="34"/>
      <c r="S301" s="141"/>
    </row>
    <row r="302" spans="14:19" ht="12.75">
      <c r="N302" s="1"/>
      <c r="O302" s="1"/>
      <c r="P302" s="1"/>
      <c r="Q302" s="4"/>
      <c r="R302" s="34"/>
      <c r="S302" s="142"/>
    </row>
    <row r="303" spans="14:19" ht="12.75">
      <c r="N303" s="37"/>
      <c r="O303" s="37"/>
      <c r="P303" s="38"/>
      <c r="Q303" s="39"/>
      <c r="R303" s="1"/>
      <c r="S303" s="1"/>
    </row>
    <row r="304" spans="14:19" ht="12.75">
      <c r="N304" s="1"/>
      <c r="O304" s="1"/>
      <c r="P304" s="36"/>
      <c r="Q304" s="1"/>
      <c r="R304" s="1"/>
      <c r="S304" s="2"/>
    </row>
    <row r="305" spans="14:19" ht="12.75">
      <c r="N305" s="1"/>
      <c r="O305" s="1"/>
      <c r="P305" s="1"/>
      <c r="Q305" s="4"/>
      <c r="R305" s="1"/>
      <c r="S305" s="140"/>
    </row>
    <row r="306" spans="14:19" ht="12.75">
      <c r="N306" s="1"/>
      <c r="O306" s="1"/>
      <c r="P306" s="1"/>
      <c r="Q306" s="4"/>
      <c r="R306" s="1"/>
      <c r="S306" s="141"/>
    </row>
    <row r="307" spans="14:19" ht="12.75">
      <c r="N307" s="1"/>
      <c r="O307" s="1"/>
      <c r="P307" s="1"/>
      <c r="Q307" s="4"/>
      <c r="R307" s="34"/>
      <c r="S307" s="141"/>
    </row>
    <row r="308" spans="14:19" ht="12.75">
      <c r="N308" s="1"/>
      <c r="O308" s="1"/>
      <c r="P308" s="1"/>
      <c r="Q308" s="4"/>
      <c r="R308" s="34"/>
      <c r="S308" s="141"/>
    </row>
    <row r="309" spans="14:19" ht="12.75">
      <c r="N309" s="1"/>
      <c r="O309" s="1"/>
      <c r="P309" s="1"/>
      <c r="Q309" s="4"/>
      <c r="R309" s="1"/>
      <c r="S309" s="141"/>
    </row>
    <row r="310" spans="14:19" ht="12.75">
      <c r="N310" s="1"/>
      <c r="O310" s="1"/>
      <c r="P310" s="1"/>
      <c r="Q310" s="4"/>
      <c r="R310" s="1"/>
      <c r="S310" s="141"/>
    </row>
    <row r="311" spans="14:19" ht="12.75">
      <c r="N311" s="1"/>
      <c r="O311" s="1"/>
      <c r="P311" s="1"/>
      <c r="Q311" s="4"/>
      <c r="R311" s="34"/>
      <c r="S311" s="141"/>
    </row>
    <row r="312" spans="14:19" ht="12.75">
      <c r="N312" s="1"/>
      <c r="O312" s="1"/>
      <c r="P312" s="1"/>
      <c r="Q312" s="4"/>
      <c r="R312" s="34"/>
      <c r="S312" s="142"/>
    </row>
    <row r="313" spans="14:19" ht="12.75">
      <c r="N313" s="37"/>
      <c r="O313" s="37"/>
      <c r="P313" s="38"/>
      <c r="Q313" s="39"/>
      <c r="R313" s="1"/>
      <c r="S313" s="1"/>
    </row>
    <row r="314" spans="14:19" ht="12.75">
      <c r="N314" s="1"/>
      <c r="O314" s="1"/>
      <c r="P314" s="36"/>
      <c r="Q314" s="1"/>
      <c r="R314" s="1"/>
      <c r="S314" s="2"/>
    </row>
    <row r="315" spans="14:19" ht="12.75">
      <c r="N315" s="1"/>
      <c r="O315" s="1"/>
      <c r="P315" s="1"/>
      <c r="Q315" s="4"/>
      <c r="R315" s="1"/>
      <c r="S315" s="140"/>
    </row>
    <row r="316" spans="14:19" ht="12.75">
      <c r="N316" s="1"/>
      <c r="O316" s="1"/>
      <c r="P316" s="1"/>
      <c r="Q316" s="4"/>
      <c r="R316" s="1"/>
      <c r="S316" s="141"/>
    </row>
    <row r="317" spans="14:19" ht="12.75">
      <c r="N317" s="1"/>
      <c r="O317" s="1"/>
      <c r="P317" s="1"/>
      <c r="Q317" s="4"/>
      <c r="R317" s="34"/>
      <c r="S317" s="141"/>
    </row>
    <row r="318" spans="14:19" ht="12.75">
      <c r="N318" s="1"/>
      <c r="O318" s="1"/>
      <c r="P318" s="1"/>
      <c r="Q318" s="4"/>
      <c r="R318" s="34"/>
      <c r="S318" s="141"/>
    </row>
    <row r="319" spans="14:19" ht="12.75">
      <c r="N319" s="1"/>
      <c r="O319" s="1"/>
      <c r="P319" s="1"/>
      <c r="Q319" s="4"/>
      <c r="R319" s="1"/>
      <c r="S319" s="141"/>
    </row>
    <row r="320" spans="14:19" ht="12.75">
      <c r="N320" s="1"/>
      <c r="O320" s="1"/>
      <c r="P320" s="1"/>
      <c r="Q320" s="4"/>
      <c r="R320" s="1"/>
      <c r="S320" s="141"/>
    </row>
    <row r="321" spans="14:19" ht="12.75">
      <c r="N321" s="1"/>
      <c r="O321" s="1"/>
      <c r="P321" s="1"/>
      <c r="Q321" s="4"/>
      <c r="R321" s="34"/>
      <c r="S321" s="141"/>
    </row>
    <row r="322" spans="14:19" ht="12.75">
      <c r="N322" s="1"/>
      <c r="O322" s="1"/>
      <c r="P322" s="1"/>
      <c r="Q322" s="4"/>
      <c r="R322" s="34"/>
      <c r="S322" s="142"/>
    </row>
    <row r="323" spans="14:19" ht="12.75">
      <c r="N323" s="37"/>
      <c r="O323" s="37"/>
      <c r="P323" s="38"/>
      <c r="Q323" s="55"/>
      <c r="R323" s="1"/>
      <c r="S323" s="1"/>
    </row>
    <row r="324" spans="14:19" ht="12.75">
      <c r="N324" s="1"/>
      <c r="O324" s="1"/>
      <c r="P324" s="36"/>
      <c r="Q324" s="1"/>
      <c r="R324" s="1"/>
      <c r="S324" s="2"/>
    </row>
    <row r="325" spans="10:19" ht="12.75" customHeight="1">
      <c r="J325" s="146"/>
      <c r="K325" s="146"/>
      <c r="L325" s="22"/>
      <c r="N325" s="1"/>
      <c r="O325" s="1"/>
      <c r="P325" s="1"/>
      <c r="Q325" s="4"/>
      <c r="R325" s="1"/>
      <c r="S325" s="140"/>
    </row>
    <row r="326" spans="10:19" ht="12.75">
      <c r="J326" s="146"/>
      <c r="K326" s="146"/>
      <c r="L326" s="22"/>
      <c r="N326" s="1"/>
      <c r="O326" s="1"/>
      <c r="P326" s="1"/>
      <c r="Q326" s="4"/>
      <c r="R326" s="1"/>
      <c r="S326" s="141"/>
    </row>
    <row r="327" spans="10:19" ht="12.75">
      <c r="J327" s="146"/>
      <c r="K327" s="146"/>
      <c r="L327" s="22"/>
      <c r="N327" s="1"/>
      <c r="O327" s="1"/>
      <c r="P327" s="1"/>
      <c r="Q327" s="4"/>
      <c r="R327" s="34"/>
      <c r="S327" s="141"/>
    </row>
    <row r="328" spans="10:19" ht="12.75">
      <c r="J328" s="146"/>
      <c r="K328" s="146"/>
      <c r="L328" s="22"/>
      <c r="N328" s="1"/>
      <c r="O328" s="1"/>
      <c r="P328" s="1"/>
      <c r="Q328" s="4"/>
      <c r="R328" s="34"/>
      <c r="S328" s="141"/>
    </row>
    <row r="329" spans="10:19" ht="12.75">
      <c r="J329" s="146"/>
      <c r="K329" s="146"/>
      <c r="L329" s="22"/>
      <c r="N329" s="1"/>
      <c r="O329" s="1"/>
      <c r="P329" s="1"/>
      <c r="Q329" s="4"/>
      <c r="R329" s="1"/>
      <c r="S329" s="141"/>
    </row>
    <row r="330" spans="14:19" ht="12.75">
      <c r="N330" s="1"/>
      <c r="O330" s="1"/>
      <c r="P330" s="1"/>
      <c r="Q330" s="4"/>
      <c r="R330" s="1"/>
      <c r="S330" s="141"/>
    </row>
    <row r="331" spans="14:19" ht="12.75">
      <c r="N331" s="1"/>
      <c r="O331" s="1"/>
      <c r="P331" s="1"/>
      <c r="Q331" s="4"/>
      <c r="R331" s="34"/>
      <c r="S331" s="141"/>
    </row>
    <row r="332" spans="14:19" ht="12.75">
      <c r="N332" s="1"/>
      <c r="O332" s="1"/>
      <c r="P332" s="1"/>
      <c r="Q332" s="4"/>
      <c r="R332" s="34"/>
      <c r="S332" s="142"/>
    </row>
    <row r="333" spans="14:19" ht="12.75">
      <c r="N333" s="37"/>
      <c r="O333" s="37"/>
      <c r="P333" s="38"/>
      <c r="Q333" s="39"/>
      <c r="R333" s="1"/>
      <c r="S333" s="1"/>
    </row>
    <row r="335" ht="12.75">
      <c r="P335" s="40"/>
    </row>
    <row r="336" spans="14:19" ht="12.75">
      <c r="N336" s="1"/>
      <c r="O336" s="1"/>
      <c r="P336" s="36"/>
      <c r="Q336" s="1"/>
      <c r="R336" s="1"/>
      <c r="S336" s="2"/>
    </row>
    <row r="337" spans="10:19" ht="12.75">
      <c r="J337" s="146"/>
      <c r="K337" s="146"/>
      <c r="L337" s="22"/>
      <c r="N337" s="1"/>
      <c r="O337" s="1"/>
      <c r="P337" s="1"/>
      <c r="Q337" s="4"/>
      <c r="R337" s="1"/>
      <c r="S337" s="140"/>
    </row>
    <row r="338" spans="10:19" ht="12.75">
      <c r="J338" s="146"/>
      <c r="K338" s="146"/>
      <c r="L338" s="22"/>
      <c r="N338" s="1"/>
      <c r="O338" s="1"/>
      <c r="P338" s="1"/>
      <c r="Q338" s="4"/>
      <c r="R338" s="1"/>
      <c r="S338" s="141"/>
    </row>
    <row r="339" spans="10:19" ht="12.75">
      <c r="J339" s="146"/>
      <c r="K339" s="146"/>
      <c r="L339" s="22"/>
      <c r="N339" s="1"/>
      <c r="O339" s="1"/>
      <c r="P339" s="1"/>
      <c r="Q339" s="4"/>
      <c r="R339" s="34"/>
      <c r="S339" s="141"/>
    </row>
    <row r="340" spans="10:19" ht="12.75">
      <c r="J340" s="146"/>
      <c r="K340" s="146"/>
      <c r="L340" s="22"/>
      <c r="N340" s="1"/>
      <c r="O340" s="1"/>
      <c r="P340" s="1"/>
      <c r="Q340" s="4"/>
      <c r="R340" s="34"/>
      <c r="S340" s="141"/>
    </row>
    <row r="341" spans="10:19" ht="12.75">
      <c r="J341" s="146"/>
      <c r="K341" s="146"/>
      <c r="L341" s="22"/>
      <c r="N341" s="1"/>
      <c r="O341" s="1"/>
      <c r="P341" s="1"/>
      <c r="Q341" s="4"/>
      <c r="R341" s="1"/>
      <c r="S341" s="141"/>
    </row>
    <row r="342" spans="14:19" ht="12.75">
      <c r="N342" s="1"/>
      <c r="O342" s="1"/>
      <c r="P342" s="1"/>
      <c r="Q342" s="4"/>
      <c r="R342" s="1"/>
      <c r="S342" s="141"/>
    </row>
    <row r="343" spans="14:19" ht="12.75">
      <c r="N343" s="1"/>
      <c r="O343" s="1"/>
      <c r="P343" s="1"/>
      <c r="Q343" s="4"/>
      <c r="R343" s="34"/>
      <c r="S343" s="141"/>
    </row>
    <row r="344" spans="14:19" ht="12.75">
      <c r="N344" s="1"/>
      <c r="O344" s="1"/>
      <c r="P344" s="1"/>
      <c r="Q344" s="4"/>
      <c r="R344" s="34"/>
      <c r="S344" s="142"/>
    </row>
    <row r="345" spans="14:19" ht="12.75">
      <c r="N345" s="37"/>
      <c r="O345" s="37"/>
      <c r="P345" s="38"/>
      <c r="Q345" s="39"/>
      <c r="R345" s="1"/>
      <c r="S345" s="1"/>
    </row>
    <row r="346" spans="14:19" ht="12.75">
      <c r="N346" s="1"/>
      <c r="O346" s="1"/>
      <c r="P346" s="36"/>
      <c r="Q346" s="1"/>
      <c r="R346" s="1"/>
      <c r="S346" s="2"/>
    </row>
    <row r="347" spans="14:19" ht="12.75">
      <c r="N347" s="1"/>
      <c r="O347" s="1"/>
      <c r="P347" s="1"/>
      <c r="Q347" s="4"/>
      <c r="R347" s="1"/>
      <c r="S347" s="140"/>
    </row>
    <row r="348" spans="14:19" ht="12.75">
      <c r="N348" s="1"/>
      <c r="O348" s="1"/>
      <c r="P348" s="1"/>
      <c r="Q348" s="4"/>
      <c r="R348" s="1"/>
      <c r="S348" s="141"/>
    </row>
    <row r="349" spans="14:19" ht="12.75">
      <c r="N349" s="1"/>
      <c r="O349" s="1"/>
      <c r="P349" s="1"/>
      <c r="Q349" s="4"/>
      <c r="R349" s="34"/>
      <c r="S349" s="141"/>
    </row>
    <row r="350" spans="14:19" ht="12.75">
      <c r="N350" s="1"/>
      <c r="O350" s="1"/>
      <c r="P350" s="1"/>
      <c r="Q350" s="4"/>
      <c r="R350" s="34"/>
      <c r="S350" s="141"/>
    </row>
    <row r="351" spans="14:19" ht="12.75">
      <c r="N351" s="1"/>
      <c r="O351" s="1"/>
      <c r="P351" s="1"/>
      <c r="Q351" s="4"/>
      <c r="R351" s="1"/>
      <c r="S351" s="141"/>
    </row>
    <row r="352" spans="14:19" ht="12.75">
      <c r="N352" s="1"/>
      <c r="O352" s="1"/>
      <c r="P352" s="1"/>
      <c r="Q352" s="4"/>
      <c r="R352" s="1"/>
      <c r="S352" s="141"/>
    </row>
    <row r="353" spans="14:19" ht="12.75">
      <c r="N353" s="1"/>
      <c r="O353" s="1"/>
      <c r="P353" s="1"/>
      <c r="Q353" s="4"/>
      <c r="R353" s="34"/>
      <c r="S353" s="141"/>
    </row>
    <row r="354" spans="14:19" ht="12.75">
      <c r="N354" s="1"/>
      <c r="O354" s="1"/>
      <c r="P354" s="1"/>
      <c r="Q354" s="4"/>
      <c r="R354" s="34"/>
      <c r="S354" s="142"/>
    </row>
    <row r="355" spans="14:19" ht="12.75">
      <c r="N355" s="37"/>
      <c r="O355" s="37"/>
      <c r="P355" s="38"/>
      <c r="Q355" s="55"/>
      <c r="R355" s="1"/>
      <c r="S355" s="1"/>
    </row>
    <row r="356" spans="14:19" ht="12.75">
      <c r="N356" s="1"/>
      <c r="O356" s="1"/>
      <c r="P356" s="36"/>
      <c r="Q356" s="1"/>
      <c r="R356" s="1"/>
      <c r="S356" s="2"/>
    </row>
    <row r="357" spans="14:19" ht="12.75">
      <c r="N357" s="1"/>
      <c r="O357" s="1"/>
      <c r="P357" s="1"/>
      <c r="Q357" s="4"/>
      <c r="R357" s="1"/>
      <c r="S357" s="140"/>
    </row>
    <row r="358" spans="14:19" ht="12.75">
      <c r="N358" s="1"/>
      <c r="O358" s="1"/>
      <c r="P358" s="1"/>
      <c r="Q358" s="4"/>
      <c r="R358" s="1"/>
      <c r="S358" s="141"/>
    </row>
    <row r="359" spans="14:19" ht="12.75">
      <c r="N359" s="1"/>
      <c r="O359" s="1"/>
      <c r="P359" s="1"/>
      <c r="Q359" s="4"/>
      <c r="R359" s="34"/>
      <c r="S359" s="141"/>
    </row>
    <row r="360" spans="14:19" ht="12.75">
      <c r="N360" s="1"/>
      <c r="O360" s="1"/>
      <c r="P360" s="1"/>
      <c r="Q360" s="4"/>
      <c r="R360" s="34"/>
      <c r="S360" s="141"/>
    </row>
    <row r="361" spans="14:19" ht="12.75">
      <c r="N361" s="1"/>
      <c r="O361" s="1"/>
      <c r="P361" s="1"/>
      <c r="Q361" s="4"/>
      <c r="R361" s="1"/>
      <c r="S361" s="141"/>
    </row>
    <row r="362" spans="14:19" ht="12.75">
      <c r="N362" s="1"/>
      <c r="O362" s="1"/>
      <c r="P362" s="1"/>
      <c r="Q362" s="4"/>
      <c r="R362" s="1"/>
      <c r="S362" s="141"/>
    </row>
    <row r="363" spans="14:19" ht="12.75">
      <c r="N363" s="1"/>
      <c r="O363" s="1"/>
      <c r="P363" s="1"/>
      <c r="Q363" s="4"/>
      <c r="R363" s="34"/>
      <c r="S363" s="141"/>
    </row>
    <row r="364" spans="14:19" ht="12.75">
      <c r="N364" s="1"/>
      <c r="O364" s="1"/>
      <c r="P364" s="1"/>
      <c r="Q364" s="4"/>
      <c r="R364" s="34"/>
      <c r="S364" s="142"/>
    </row>
    <row r="365" spans="14:19" ht="12.75">
      <c r="N365" s="37"/>
      <c r="O365" s="37"/>
      <c r="P365" s="38"/>
      <c r="Q365" s="39"/>
      <c r="R365" s="1"/>
      <c r="S365" s="1"/>
    </row>
    <row r="366" spans="14:19" ht="12.75">
      <c r="N366" s="1"/>
      <c r="O366" s="1"/>
      <c r="P366" s="36"/>
      <c r="Q366" s="1"/>
      <c r="R366" s="1"/>
      <c r="S366" s="2"/>
    </row>
    <row r="367" spans="14:19" ht="12.75">
      <c r="N367" s="1"/>
      <c r="O367" s="1"/>
      <c r="P367" s="1"/>
      <c r="Q367" s="4"/>
      <c r="R367" s="1"/>
      <c r="S367" s="140"/>
    </row>
    <row r="368" spans="14:19" ht="12.75">
      <c r="N368" s="1"/>
      <c r="O368" s="1"/>
      <c r="P368" s="1"/>
      <c r="Q368" s="4"/>
      <c r="R368" s="1"/>
      <c r="S368" s="141"/>
    </row>
    <row r="369" spans="14:19" ht="12.75">
      <c r="N369" s="1"/>
      <c r="O369" s="1"/>
      <c r="P369" s="1"/>
      <c r="Q369" s="4"/>
      <c r="R369" s="34"/>
      <c r="S369" s="141"/>
    </row>
    <row r="370" spans="14:19" ht="12.75">
      <c r="N370" s="1"/>
      <c r="O370" s="1"/>
      <c r="P370" s="1"/>
      <c r="Q370" s="4"/>
      <c r="R370" s="34"/>
      <c r="S370" s="141"/>
    </row>
    <row r="371" spans="14:19" ht="12.75">
      <c r="N371" s="1"/>
      <c r="O371" s="1"/>
      <c r="P371" s="1"/>
      <c r="Q371" s="4"/>
      <c r="R371" s="1"/>
      <c r="S371" s="141"/>
    </row>
    <row r="372" spans="14:19" ht="12.75">
      <c r="N372" s="1"/>
      <c r="O372" s="1"/>
      <c r="P372" s="1"/>
      <c r="Q372" s="4"/>
      <c r="R372" s="1"/>
      <c r="S372" s="141"/>
    </row>
    <row r="373" spans="14:19" ht="12.75">
      <c r="N373" s="1"/>
      <c r="O373" s="1"/>
      <c r="P373" s="1"/>
      <c r="Q373" s="4"/>
      <c r="R373" s="34"/>
      <c r="S373" s="141"/>
    </row>
    <row r="374" spans="14:19" ht="12.75">
      <c r="N374" s="1"/>
      <c r="O374" s="1"/>
      <c r="P374" s="1"/>
      <c r="Q374" s="4"/>
      <c r="R374" s="34"/>
      <c r="S374" s="142"/>
    </row>
    <row r="375" spans="14:19" ht="12.75">
      <c r="N375" s="37"/>
      <c r="O375" s="37"/>
      <c r="P375" s="38"/>
      <c r="Q375" s="39"/>
      <c r="R375" s="1"/>
      <c r="S375" s="1"/>
    </row>
    <row r="376" spans="14:19" ht="12.75">
      <c r="N376" s="1"/>
      <c r="O376" s="1"/>
      <c r="P376" s="36"/>
      <c r="Q376" s="1"/>
      <c r="R376" s="1"/>
      <c r="S376" s="2"/>
    </row>
    <row r="377" spans="14:19" ht="12.75">
      <c r="N377" s="1"/>
      <c r="O377" s="1"/>
      <c r="P377" s="1"/>
      <c r="Q377" s="4"/>
      <c r="R377" s="1"/>
      <c r="S377" s="140"/>
    </row>
    <row r="378" spans="14:19" ht="12.75">
      <c r="N378" s="1"/>
      <c r="O378" s="1"/>
      <c r="P378" s="1"/>
      <c r="Q378" s="4"/>
      <c r="R378" s="1"/>
      <c r="S378" s="141"/>
    </row>
    <row r="379" spans="14:19" ht="12.75">
      <c r="N379" s="1"/>
      <c r="O379" s="1"/>
      <c r="P379" s="1"/>
      <c r="Q379" s="4"/>
      <c r="R379" s="34"/>
      <c r="S379" s="141"/>
    </row>
    <row r="380" spans="14:19" ht="12.75">
      <c r="N380" s="1"/>
      <c r="O380" s="1"/>
      <c r="P380" s="1"/>
      <c r="Q380" s="4"/>
      <c r="R380" s="34"/>
      <c r="S380" s="141"/>
    </row>
    <row r="381" spans="14:19" ht="12.75">
      <c r="N381" s="1"/>
      <c r="O381" s="1"/>
      <c r="P381" s="1"/>
      <c r="Q381" s="4"/>
      <c r="R381" s="1"/>
      <c r="S381" s="141"/>
    </row>
    <row r="382" spans="14:19" ht="12.75">
      <c r="N382" s="1"/>
      <c r="O382" s="1"/>
      <c r="P382" s="1"/>
      <c r="Q382" s="4"/>
      <c r="R382" s="1"/>
      <c r="S382" s="141"/>
    </row>
    <row r="383" spans="14:19" ht="12.75">
      <c r="N383" s="1"/>
      <c r="O383" s="1"/>
      <c r="P383" s="1"/>
      <c r="Q383" s="4"/>
      <c r="R383" s="34"/>
      <c r="S383" s="141"/>
    </row>
    <row r="384" spans="14:19" ht="12.75">
      <c r="N384" s="1"/>
      <c r="O384" s="1"/>
      <c r="P384" s="1"/>
      <c r="Q384" s="4"/>
      <c r="R384" s="34"/>
      <c r="S384" s="142"/>
    </row>
    <row r="385" spans="14:19" ht="12.75">
      <c r="N385" s="37"/>
      <c r="O385" s="37"/>
      <c r="P385" s="38"/>
      <c r="Q385" s="39"/>
      <c r="R385" s="1"/>
      <c r="S385" s="1"/>
    </row>
    <row r="386" spans="14:19" ht="12.75">
      <c r="N386" s="1"/>
      <c r="O386" s="1"/>
      <c r="P386" s="36"/>
      <c r="Q386" s="1"/>
      <c r="R386" s="1"/>
      <c r="S386" s="2"/>
    </row>
    <row r="387" spans="14:19" ht="12.75">
      <c r="N387" s="1"/>
      <c r="O387" s="1"/>
      <c r="P387" s="1"/>
      <c r="Q387" s="4"/>
      <c r="R387" s="1"/>
      <c r="S387" s="140"/>
    </row>
    <row r="388" spans="14:19" ht="12.75">
      <c r="N388" s="1"/>
      <c r="O388" s="1"/>
      <c r="P388" s="1"/>
      <c r="Q388" s="4"/>
      <c r="R388" s="1"/>
      <c r="S388" s="141"/>
    </row>
    <row r="389" spans="14:19" ht="12.75">
      <c r="N389" s="1"/>
      <c r="O389" s="1"/>
      <c r="P389" s="1"/>
      <c r="Q389" s="4"/>
      <c r="R389" s="34"/>
      <c r="S389" s="141"/>
    </row>
    <row r="390" spans="14:19" ht="12.75">
      <c r="N390" s="1"/>
      <c r="O390" s="1"/>
      <c r="P390" s="1"/>
      <c r="Q390" s="4"/>
      <c r="R390" s="34"/>
      <c r="S390" s="141"/>
    </row>
    <row r="391" spans="14:19" ht="12.75">
      <c r="N391" s="1"/>
      <c r="O391" s="1"/>
      <c r="P391" s="1"/>
      <c r="Q391" s="4"/>
      <c r="R391" s="1"/>
      <c r="S391" s="141"/>
    </row>
    <row r="392" spans="14:19" ht="12.75">
      <c r="N392" s="1"/>
      <c r="O392" s="1"/>
      <c r="P392" s="1"/>
      <c r="Q392" s="4"/>
      <c r="R392" s="1"/>
      <c r="S392" s="141"/>
    </row>
    <row r="393" spans="14:19" ht="12.75">
      <c r="N393" s="1"/>
      <c r="O393" s="1"/>
      <c r="P393" s="1"/>
      <c r="Q393" s="4"/>
      <c r="R393" s="34"/>
      <c r="S393" s="141"/>
    </row>
    <row r="394" spans="14:19" ht="12.75">
      <c r="N394" s="1"/>
      <c r="O394" s="1"/>
      <c r="P394" s="1"/>
      <c r="Q394" s="4"/>
      <c r="R394" s="34"/>
      <c r="S394" s="142"/>
    </row>
    <row r="395" spans="14:19" ht="12.75">
      <c r="N395" s="37"/>
      <c r="O395" s="37"/>
      <c r="P395" s="38"/>
      <c r="Q395" s="39"/>
      <c r="R395" s="1"/>
      <c r="S395" s="1"/>
    </row>
    <row r="396" spans="14:19" ht="12.75">
      <c r="N396" s="1"/>
      <c r="O396" s="1"/>
      <c r="P396" s="36"/>
      <c r="Q396" s="1"/>
      <c r="R396" s="1"/>
      <c r="S396" s="2"/>
    </row>
    <row r="397" spans="14:19" ht="12.75">
      <c r="N397" s="1"/>
      <c r="O397" s="1"/>
      <c r="P397" s="1"/>
      <c r="Q397" s="4"/>
      <c r="R397" s="1"/>
      <c r="S397" s="140"/>
    </row>
    <row r="398" spans="14:19" ht="12.75">
      <c r="N398" s="1"/>
      <c r="O398" s="1"/>
      <c r="P398" s="1"/>
      <c r="Q398" s="4"/>
      <c r="R398" s="1"/>
      <c r="S398" s="141"/>
    </row>
    <row r="399" spans="14:19" ht="12.75">
      <c r="N399" s="1"/>
      <c r="O399" s="1"/>
      <c r="P399" s="1"/>
      <c r="Q399" s="4"/>
      <c r="R399" s="34"/>
      <c r="S399" s="141"/>
    </row>
    <row r="400" spans="14:19" ht="12.75">
      <c r="N400" s="1"/>
      <c r="O400" s="1"/>
      <c r="P400" s="1"/>
      <c r="Q400" s="4"/>
      <c r="R400" s="34"/>
      <c r="S400" s="141"/>
    </row>
    <row r="401" spans="14:19" ht="12.75">
      <c r="N401" s="1"/>
      <c r="O401" s="1"/>
      <c r="P401" s="1"/>
      <c r="Q401" s="4"/>
      <c r="R401" s="1"/>
      <c r="S401" s="141"/>
    </row>
    <row r="402" spans="14:19" ht="12.75">
      <c r="N402" s="1"/>
      <c r="O402" s="1"/>
      <c r="P402" s="1"/>
      <c r="Q402" s="4"/>
      <c r="R402" s="1"/>
      <c r="S402" s="141"/>
    </row>
    <row r="403" spans="14:19" ht="12.75">
      <c r="N403" s="1"/>
      <c r="O403" s="1"/>
      <c r="P403" s="1"/>
      <c r="Q403" s="4"/>
      <c r="R403" s="34"/>
      <c r="S403" s="141"/>
    </row>
    <row r="404" spans="14:19" ht="12.75">
      <c r="N404" s="1"/>
      <c r="O404" s="1"/>
      <c r="P404" s="1"/>
      <c r="Q404" s="4"/>
      <c r="R404" s="34"/>
      <c r="S404" s="142"/>
    </row>
    <row r="405" spans="14:19" ht="12.75">
      <c r="N405" s="37"/>
      <c r="O405" s="37"/>
      <c r="P405" s="38"/>
      <c r="Q405" s="39"/>
      <c r="R405" s="1"/>
      <c r="S405" s="1"/>
    </row>
    <row r="406" spans="14:19" ht="12.75">
      <c r="N406" s="1"/>
      <c r="O406" s="1"/>
      <c r="P406" s="36"/>
      <c r="Q406" s="1"/>
      <c r="R406" s="1"/>
      <c r="S406" s="2"/>
    </row>
    <row r="407" spans="14:19" ht="12.75">
      <c r="N407" s="1"/>
      <c r="O407" s="1"/>
      <c r="P407" s="1"/>
      <c r="Q407" s="4"/>
      <c r="R407" s="1"/>
      <c r="S407" s="140"/>
    </row>
    <row r="408" spans="14:19" ht="12.75">
      <c r="N408" s="1"/>
      <c r="O408" s="1"/>
      <c r="P408" s="1"/>
      <c r="Q408" s="4"/>
      <c r="R408" s="1"/>
      <c r="S408" s="141"/>
    </row>
    <row r="409" spans="14:19" ht="12.75">
      <c r="N409" s="1"/>
      <c r="O409" s="1"/>
      <c r="P409" s="1"/>
      <c r="Q409" s="4"/>
      <c r="R409" s="34"/>
      <c r="S409" s="141"/>
    </row>
    <row r="410" spans="14:19" ht="12.75">
      <c r="N410" s="1"/>
      <c r="O410" s="1"/>
      <c r="P410" s="1"/>
      <c r="Q410" s="4"/>
      <c r="R410" s="34"/>
      <c r="S410" s="141"/>
    </row>
    <row r="411" spans="14:19" ht="12.75">
      <c r="N411" s="1"/>
      <c r="O411" s="1"/>
      <c r="P411" s="1"/>
      <c r="Q411" s="4"/>
      <c r="R411" s="1"/>
      <c r="S411" s="141"/>
    </row>
    <row r="412" spans="14:19" ht="12.75">
      <c r="N412" s="1"/>
      <c r="O412" s="1"/>
      <c r="P412" s="1"/>
      <c r="Q412" s="4"/>
      <c r="R412" s="1"/>
      <c r="S412" s="141"/>
    </row>
    <row r="413" spans="14:19" ht="12.75">
      <c r="N413" s="1"/>
      <c r="O413" s="1"/>
      <c r="P413" s="1"/>
      <c r="Q413" s="4"/>
      <c r="R413" s="34"/>
      <c r="S413" s="141"/>
    </row>
    <row r="414" spans="14:19" ht="12.75">
      <c r="N414" s="1"/>
      <c r="O414" s="1"/>
      <c r="P414" s="1"/>
      <c r="Q414" s="4"/>
      <c r="R414" s="34"/>
      <c r="S414" s="142"/>
    </row>
    <row r="415" spans="14:19" ht="12.75">
      <c r="N415" s="37"/>
      <c r="O415" s="37"/>
      <c r="P415" s="38"/>
      <c r="Q415" s="39"/>
      <c r="R415" s="1"/>
      <c r="S415" s="1"/>
    </row>
    <row r="417" ht="12.75">
      <c r="P417" s="40"/>
    </row>
    <row r="418" spans="14:19" ht="12.75">
      <c r="N418" s="1"/>
      <c r="O418" s="1"/>
      <c r="P418" s="36"/>
      <c r="Q418" s="1"/>
      <c r="R418" s="1"/>
      <c r="S418" s="2"/>
    </row>
    <row r="419" spans="14:19" ht="12.75">
      <c r="N419" s="1"/>
      <c r="O419" s="1"/>
      <c r="P419" s="1"/>
      <c r="Q419" s="4"/>
      <c r="R419" s="1"/>
      <c r="S419" s="140"/>
    </row>
    <row r="420" spans="14:19" ht="12.75">
      <c r="N420" s="1"/>
      <c r="O420" s="1"/>
      <c r="P420" s="1"/>
      <c r="Q420" s="4"/>
      <c r="R420" s="1"/>
      <c r="S420" s="141"/>
    </row>
    <row r="421" spans="14:19" ht="12.75">
      <c r="N421" s="1"/>
      <c r="O421" s="1"/>
      <c r="P421" s="1"/>
      <c r="Q421" s="4"/>
      <c r="R421" s="34"/>
      <c r="S421" s="141"/>
    </row>
    <row r="422" spans="14:19" ht="12.75">
      <c r="N422" s="1"/>
      <c r="O422" s="1"/>
      <c r="P422" s="1"/>
      <c r="Q422" s="4"/>
      <c r="R422" s="34"/>
      <c r="S422" s="141"/>
    </row>
    <row r="423" spans="14:19" ht="12.75">
      <c r="N423" s="1"/>
      <c r="O423" s="1"/>
      <c r="P423" s="1"/>
      <c r="Q423" s="4"/>
      <c r="R423" s="1"/>
      <c r="S423" s="141"/>
    </row>
    <row r="424" spans="14:19" ht="12.75">
      <c r="N424" s="1"/>
      <c r="O424" s="1"/>
      <c r="P424" s="1"/>
      <c r="Q424" s="4"/>
      <c r="R424" s="1"/>
      <c r="S424" s="141"/>
    </row>
    <row r="425" spans="14:19" ht="12.75">
      <c r="N425" s="1"/>
      <c r="O425" s="1"/>
      <c r="P425" s="1"/>
      <c r="Q425" s="4"/>
      <c r="R425" s="34"/>
      <c r="S425" s="141"/>
    </row>
    <row r="426" spans="14:19" ht="12.75">
      <c r="N426" s="1"/>
      <c r="O426" s="1"/>
      <c r="P426" s="1"/>
      <c r="Q426" s="4"/>
      <c r="R426" s="34"/>
      <c r="S426" s="142"/>
    </row>
    <row r="427" spans="14:19" ht="12.75">
      <c r="N427" s="37"/>
      <c r="O427" s="37"/>
      <c r="P427" s="38"/>
      <c r="Q427" s="39"/>
      <c r="R427" s="1"/>
      <c r="S427" s="1"/>
    </row>
    <row r="428" spans="14:19" ht="12.75">
      <c r="N428" s="1"/>
      <c r="O428" s="1"/>
      <c r="P428" s="36"/>
      <c r="Q428" s="1"/>
      <c r="R428" s="1"/>
      <c r="S428" s="2"/>
    </row>
    <row r="429" spans="14:19" ht="12.75">
      <c r="N429" s="1"/>
      <c r="O429" s="1"/>
      <c r="P429" s="1"/>
      <c r="Q429" s="4"/>
      <c r="R429" s="1"/>
      <c r="S429" s="140"/>
    </row>
    <row r="430" spans="14:19" ht="12.75">
      <c r="N430" s="1"/>
      <c r="O430" s="1"/>
      <c r="P430" s="1"/>
      <c r="Q430" s="4"/>
      <c r="R430" s="1"/>
      <c r="S430" s="141"/>
    </row>
    <row r="431" spans="14:19" ht="12.75">
      <c r="N431" s="1"/>
      <c r="O431" s="1"/>
      <c r="P431" s="1"/>
      <c r="Q431" s="4"/>
      <c r="R431" s="34"/>
      <c r="S431" s="141"/>
    </row>
    <row r="432" spans="14:19" ht="12.75">
      <c r="N432" s="1"/>
      <c r="O432" s="1"/>
      <c r="P432" s="1"/>
      <c r="Q432" s="4"/>
      <c r="R432" s="34"/>
      <c r="S432" s="141"/>
    </row>
    <row r="433" spans="14:19" ht="12.75">
      <c r="N433" s="1"/>
      <c r="O433" s="1"/>
      <c r="P433" s="1"/>
      <c r="Q433" s="4"/>
      <c r="R433" s="1"/>
      <c r="S433" s="141"/>
    </row>
    <row r="434" spans="14:19" ht="12.75">
      <c r="N434" s="1"/>
      <c r="O434" s="1"/>
      <c r="P434" s="1"/>
      <c r="Q434" s="4"/>
      <c r="R434" s="1"/>
      <c r="S434" s="141"/>
    </row>
    <row r="435" spans="14:19" ht="12.75">
      <c r="N435" s="1"/>
      <c r="O435" s="1"/>
      <c r="P435" s="1"/>
      <c r="Q435" s="4"/>
      <c r="R435" s="34"/>
      <c r="S435" s="141"/>
    </row>
    <row r="436" spans="14:19" ht="12.75">
      <c r="N436" s="1"/>
      <c r="O436" s="1"/>
      <c r="P436" s="1"/>
      <c r="Q436" s="4"/>
      <c r="R436" s="34"/>
      <c r="S436" s="142"/>
    </row>
    <row r="437" spans="14:19" ht="12.75">
      <c r="N437" s="37"/>
      <c r="O437" s="37"/>
      <c r="P437" s="38"/>
      <c r="Q437" s="39"/>
      <c r="R437" s="1"/>
      <c r="S437" s="1"/>
    </row>
    <row r="438" spans="14:19" ht="12.75">
      <c r="N438" s="1"/>
      <c r="O438" s="1"/>
      <c r="P438" s="36"/>
      <c r="Q438" s="1"/>
      <c r="R438" s="1"/>
      <c r="S438" s="2"/>
    </row>
    <row r="439" spans="14:19" ht="12.75">
      <c r="N439" s="1"/>
      <c r="O439" s="1"/>
      <c r="P439" s="1"/>
      <c r="Q439" s="4"/>
      <c r="R439" s="1"/>
      <c r="S439" s="140"/>
    </row>
    <row r="440" spans="14:19" ht="12.75">
      <c r="N440" s="1"/>
      <c r="O440" s="1"/>
      <c r="P440" s="1"/>
      <c r="Q440" s="4"/>
      <c r="R440" s="1"/>
      <c r="S440" s="141"/>
    </row>
    <row r="441" spans="14:19" ht="12.75">
      <c r="N441" s="1"/>
      <c r="O441" s="1"/>
      <c r="P441" s="1"/>
      <c r="Q441" s="4"/>
      <c r="R441" s="34"/>
      <c r="S441" s="141"/>
    </row>
    <row r="442" spans="14:19" ht="12.75">
      <c r="N442" s="1"/>
      <c r="O442" s="1"/>
      <c r="P442" s="1"/>
      <c r="Q442" s="4"/>
      <c r="R442" s="34"/>
      <c r="S442" s="141"/>
    </row>
    <row r="443" spans="14:19" ht="12.75">
      <c r="N443" s="1"/>
      <c r="O443" s="1"/>
      <c r="P443" s="1"/>
      <c r="Q443" s="4"/>
      <c r="R443" s="1"/>
      <c r="S443" s="141"/>
    </row>
    <row r="444" spans="14:19" ht="12.75">
      <c r="N444" s="1"/>
      <c r="O444" s="1"/>
      <c r="P444" s="1"/>
      <c r="Q444" s="4"/>
      <c r="R444" s="1"/>
      <c r="S444" s="141"/>
    </row>
    <row r="445" spans="14:19" ht="12.75">
      <c r="N445" s="1"/>
      <c r="O445" s="1"/>
      <c r="P445" s="1"/>
      <c r="Q445" s="4"/>
      <c r="R445" s="34"/>
      <c r="S445" s="141"/>
    </row>
    <row r="446" spans="14:19" ht="12.75">
      <c r="N446" s="1"/>
      <c r="O446" s="1"/>
      <c r="P446" s="1"/>
      <c r="Q446" s="4"/>
      <c r="R446" s="34"/>
      <c r="S446" s="142"/>
    </row>
    <row r="447" spans="14:19" ht="12.75">
      <c r="N447" s="37"/>
      <c r="O447" s="37"/>
      <c r="P447" s="38"/>
      <c r="Q447" s="39"/>
      <c r="R447" s="1"/>
      <c r="S447" s="1"/>
    </row>
    <row r="448" spans="14:19" ht="12.75">
      <c r="N448" s="1"/>
      <c r="O448" s="1"/>
      <c r="P448" s="36"/>
      <c r="Q448" s="1"/>
      <c r="R448" s="1"/>
      <c r="S448" s="2"/>
    </row>
    <row r="449" spans="14:19" ht="12.75">
      <c r="N449" s="1"/>
      <c r="O449" s="1"/>
      <c r="P449" s="1"/>
      <c r="Q449" s="4"/>
      <c r="R449" s="1"/>
      <c r="S449" s="140"/>
    </row>
    <row r="450" spans="14:19" ht="12.75">
      <c r="N450" s="1"/>
      <c r="O450" s="1"/>
      <c r="P450" s="1"/>
      <c r="Q450" s="4"/>
      <c r="R450" s="1"/>
      <c r="S450" s="141"/>
    </row>
    <row r="451" spans="14:19" ht="12.75">
      <c r="N451" s="1"/>
      <c r="O451" s="1"/>
      <c r="P451" s="1"/>
      <c r="Q451" s="4"/>
      <c r="R451" s="34"/>
      <c r="S451" s="141"/>
    </row>
    <row r="452" spans="14:19" ht="12.75">
      <c r="N452" s="1"/>
      <c r="O452" s="1"/>
      <c r="P452" s="1"/>
      <c r="Q452" s="4"/>
      <c r="R452" s="34"/>
      <c r="S452" s="141"/>
    </row>
    <row r="453" spans="14:19" ht="12.75">
      <c r="N453" s="1"/>
      <c r="O453" s="1"/>
      <c r="P453" s="1"/>
      <c r="Q453" s="4"/>
      <c r="R453" s="1"/>
      <c r="S453" s="141"/>
    </row>
    <row r="454" spans="14:19" ht="12.75">
      <c r="N454" s="1"/>
      <c r="O454" s="1"/>
      <c r="P454" s="1"/>
      <c r="Q454" s="4"/>
      <c r="R454" s="1"/>
      <c r="S454" s="141"/>
    </row>
    <row r="455" spans="14:19" ht="12.75">
      <c r="N455" s="1"/>
      <c r="O455" s="1"/>
      <c r="P455" s="1"/>
      <c r="Q455" s="4"/>
      <c r="R455" s="34"/>
      <c r="S455" s="141"/>
    </row>
    <row r="456" spans="14:19" ht="12.75">
      <c r="N456" s="1"/>
      <c r="O456" s="1"/>
      <c r="P456" s="1"/>
      <c r="Q456" s="4"/>
      <c r="R456" s="34"/>
      <c r="S456" s="142"/>
    </row>
    <row r="457" spans="14:19" ht="12.75">
      <c r="N457" s="37"/>
      <c r="O457" s="37"/>
      <c r="P457" s="38"/>
      <c r="Q457" s="39"/>
      <c r="R457" s="1"/>
      <c r="S457" s="1"/>
    </row>
    <row r="458" spans="14:19" ht="12.75">
      <c r="N458" s="1"/>
      <c r="O458" s="1"/>
      <c r="P458" s="36"/>
      <c r="Q458" s="1"/>
      <c r="R458" s="1"/>
      <c r="S458" s="2"/>
    </row>
    <row r="459" spans="14:19" ht="12.75">
      <c r="N459" s="1"/>
      <c r="O459" s="1"/>
      <c r="P459" s="1"/>
      <c r="Q459" s="4"/>
      <c r="R459" s="1"/>
      <c r="S459" s="140"/>
    </row>
    <row r="460" spans="14:19" ht="12.75">
      <c r="N460" s="1"/>
      <c r="O460" s="1"/>
      <c r="P460" s="1"/>
      <c r="Q460" s="4"/>
      <c r="R460" s="1"/>
      <c r="S460" s="141"/>
    </row>
    <row r="461" spans="14:19" ht="12.75">
      <c r="N461" s="1"/>
      <c r="O461" s="1"/>
      <c r="P461" s="1"/>
      <c r="Q461" s="4"/>
      <c r="R461" s="34"/>
      <c r="S461" s="141"/>
    </row>
    <row r="462" spans="14:19" ht="12.75">
      <c r="N462" s="1"/>
      <c r="O462" s="1"/>
      <c r="P462" s="1"/>
      <c r="Q462" s="4"/>
      <c r="R462" s="34"/>
      <c r="S462" s="141"/>
    </row>
    <row r="463" spans="14:19" ht="12.75">
      <c r="N463" s="1"/>
      <c r="O463" s="1"/>
      <c r="P463" s="1"/>
      <c r="Q463" s="4"/>
      <c r="R463" s="1"/>
      <c r="S463" s="141"/>
    </row>
    <row r="464" spans="14:19" ht="12.75">
      <c r="N464" s="1"/>
      <c r="O464" s="1"/>
      <c r="P464" s="1"/>
      <c r="Q464" s="4"/>
      <c r="R464" s="1"/>
      <c r="S464" s="141"/>
    </row>
    <row r="465" spans="14:19" ht="12.75">
      <c r="N465" s="1"/>
      <c r="O465" s="1"/>
      <c r="P465" s="1"/>
      <c r="Q465" s="4"/>
      <c r="R465" s="34"/>
      <c r="S465" s="141"/>
    </row>
    <row r="466" spans="14:19" ht="12.75">
      <c r="N466" s="1"/>
      <c r="O466" s="1"/>
      <c r="P466" s="1"/>
      <c r="Q466" s="4"/>
      <c r="R466" s="34"/>
      <c r="S466" s="142"/>
    </row>
    <row r="467" spans="14:19" ht="12.75">
      <c r="N467" s="37"/>
      <c r="O467" s="37"/>
      <c r="P467" s="38"/>
      <c r="Q467" s="39"/>
      <c r="R467" s="1"/>
      <c r="S467" s="1"/>
    </row>
    <row r="468" spans="14:19" ht="12.75">
      <c r="N468" s="1"/>
      <c r="O468" s="1"/>
      <c r="P468" s="36"/>
      <c r="Q468" s="1"/>
      <c r="R468" s="1"/>
      <c r="S468" s="2"/>
    </row>
    <row r="469" spans="14:19" ht="12.75">
      <c r="N469" s="1"/>
      <c r="O469" s="1"/>
      <c r="P469" s="1"/>
      <c r="Q469" s="4"/>
      <c r="R469" s="1"/>
      <c r="S469" s="140"/>
    </row>
    <row r="470" spans="14:19" ht="12.75">
      <c r="N470" s="1"/>
      <c r="O470" s="1"/>
      <c r="P470" s="1"/>
      <c r="Q470" s="4"/>
      <c r="R470" s="1"/>
      <c r="S470" s="141"/>
    </row>
    <row r="471" spans="14:19" ht="12.75">
      <c r="N471" s="1"/>
      <c r="O471" s="1"/>
      <c r="P471" s="1"/>
      <c r="Q471" s="4"/>
      <c r="R471" s="34"/>
      <c r="S471" s="141"/>
    </row>
    <row r="472" spans="14:19" ht="12.75">
      <c r="N472" s="1"/>
      <c r="O472" s="1"/>
      <c r="P472" s="1"/>
      <c r="Q472" s="4"/>
      <c r="R472" s="34"/>
      <c r="S472" s="141"/>
    </row>
    <row r="473" spans="14:19" ht="12.75">
      <c r="N473" s="1"/>
      <c r="O473" s="1"/>
      <c r="P473" s="1"/>
      <c r="Q473" s="4"/>
      <c r="R473" s="1"/>
      <c r="S473" s="141"/>
    </row>
    <row r="474" spans="14:19" ht="12.75">
      <c r="N474" s="1"/>
      <c r="O474" s="1"/>
      <c r="P474" s="1"/>
      <c r="Q474" s="4"/>
      <c r="R474" s="1"/>
      <c r="S474" s="141"/>
    </row>
    <row r="475" spans="14:19" ht="12.75">
      <c r="N475" s="1"/>
      <c r="O475" s="1"/>
      <c r="P475" s="1"/>
      <c r="Q475" s="4"/>
      <c r="R475" s="34"/>
      <c r="S475" s="141"/>
    </row>
    <row r="476" spans="14:19" ht="12.75">
      <c r="N476" s="1"/>
      <c r="O476" s="1"/>
      <c r="P476" s="1"/>
      <c r="Q476" s="4"/>
      <c r="R476" s="34"/>
      <c r="S476" s="142"/>
    </row>
    <row r="477" spans="14:19" ht="12.75">
      <c r="N477" s="37"/>
      <c r="O477" s="37"/>
      <c r="P477" s="38"/>
      <c r="Q477" s="39"/>
      <c r="R477" s="1"/>
      <c r="S477" s="1"/>
    </row>
    <row r="478" spans="14:19" ht="12.75">
      <c r="N478" s="1"/>
      <c r="O478" s="1"/>
      <c r="P478" s="36"/>
      <c r="Q478" s="1"/>
      <c r="R478" s="1"/>
      <c r="S478" s="2"/>
    </row>
    <row r="479" spans="14:19" ht="12.75">
      <c r="N479" s="1"/>
      <c r="O479" s="1"/>
      <c r="P479" s="1"/>
      <c r="Q479" s="4"/>
      <c r="R479" s="1"/>
      <c r="S479" s="140"/>
    </row>
    <row r="480" spans="14:19" ht="12.75">
      <c r="N480" s="1"/>
      <c r="O480" s="1"/>
      <c r="P480" s="1"/>
      <c r="Q480" s="4"/>
      <c r="R480" s="1"/>
      <c r="S480" s="141"/>
    </row>
    <row r="481" spans="14:19" ht="12.75">
      <c r="N481" s="1"/>
      <c r="O481" s="1"/>
      <c r="P481" s="1"/>
      <c r="Q481" s="4"/>
      <c r="R481" s="34"/>
      <c r="S481" s="141"/>
    </row>
    <row r="482" spans="14:19" ht="12.75">
      <c r="N482" s="1"/>
      <c r="O482" s="1"/>
      <c r="P482" s="1"/>
      <c r="Q482" s="4"/>
      <c r="R482" s="34"/>
      <c r="S482" s="141"/>
    </row>
    <row r="483" spans="14:19" ht="12.75">
      <c r="N483" s="1"/>
      <c r="O483" s="1"/>
      <c r="P483" s="1"/>
      <c r="Q483" s="4"/>
      <c r="R483" s="1"/>
      <c r="S483" s="141"/>
    </row>
    <row r="484" spans="14:19" ht="12.75">
      <c r="N484" s="1"/>
      <c r="O484" s="1"/>
      <c r="P484" s="1"/>
      <c r="Q484" s="4"/>
      <c r="R484" s="1"/>
      <c r="S484" s="141"/>
    </row>
    <row r="485" spans="14:19" ht="12.75">
      <c r="N485" s="1"/>
      <c r="O485" s="1"/>
      <c r="P485" s="1"/>
      <c r="Q485" s="4"/>
      <c r="R485" s="34"/>
      <c r="S485" s="141"/>
    </row>
    <row r="486" spans="14:19" ht="12.75">
      <c r="N486" s="1"/>
      <c r="O486" s="1"/>
      <c r="P486" s="1"/>
      <c r="Q486" s="4"/>
      <c r="R486" s="34"/>
      <c r="S486" s="142"/>
    </row>
    <row r="487" spans="14:19" ht="12.75">
      <c r="N487" s="37"/>
      <c r="O487" s="37"/>
      <c r="P487" s="38"/>
      <c r="Q487" s="39"/>
      <c r="R487" s="1"/>
      <c r="S487" s="1"/>
    </row>
    <row r="488" spans="14:19" ht="12.75">
      <c r="N488" s="1"/>
      <c r="O488" s="1"/>
      <c r="P488" s="36"/>
      <c r="Q488" s="1"/>
      <c r="R488" s="1"/>
      <c r="S488" s="2"/>
    </row>
    <row r="489" spans="14:19" ht="12.75">
      <c r="N489" s="1"/>
      <c r="O489" s="1"/>
      <c r="P489" s="1"/>
      <c r="Q489" s="4"/>
      <c r="R489" s="1"/>
      <c r="S489" s="140"/>
    </row>
    <row r="490" spans="14:19" ht="12.75">
      <c r="N490" s="1"/>
      <c r="O490" s="1"/>
      <c r="P490" s="1"/>
      <c r="Q490" s="4"/>
      <c r="R490" s="1"/>
      <c r="S490" s="141"/>
    </row>
    <row r="491" spans="14:19" ht="12.75">
      <c r="N491" s="1"/>
      <c r="O491" s="1"/>
      <c r="P491" s="1"/>
      <c r="Q491" s="4"/>
      <c r="R491" s="34"/>
      <c r="S491" s="141"/>
    </row>
    <row r="492" spans="14:19" ht="12.75">
      <c r="N492" s="1"/>
      <c r="O492" s="1"/>
      <c r="P492" s="1"/>
      <c r="Q492" s="4"/>
      <c r="R492" s="34"/>
      <c r="S492" s="141"/>
    </row>
    <row r="493" spans="14:19" ht="12.75">
      <c r="N493" s="1"/>
      <c r="O493" s="1"/>
      <c r="P493" s="1"/>
      <c r="Q493" s="4"/>
      <c r="R493" s="1"/>
      <c r="S493" s="141"/>
    </row>
    <row r="494" spans="14:19" ht="12.75">
      <c r="N494" s="1"/>
      <c r="O494" s="1"/>
      <c r="P494" s="1"/>
      <c r="Q494" s="4"/>
      <c r="R494" s="1"/>
      <c r="S494" s="141"/>
    </row>
    <row r="495" spans="14:19" ht="12.75">
      <c r="N495" s="1"/>
      <c r="O495" s="1"/>
      <c r="P495" s="1"/>
      <c r="Q495" s="4"/>
      <c r="R495" s="34"/>
      <c r="S495" s="141"/>
    </row>
    <row r="496" spans="14:19" ht="12.75">
      <c r="N496" s="1"/>
      <c r="O496" s="1"/>
      <c r="P496" s="1"/>
      <c r="Q496" s="4"/>
      <c r="R496" s="34"/>
      <c r="S496" s="142"/>
    </row>
    <row r="497" spans="14:19" ht="12.75">
      <c r="N497" s="37"/>
      <c r="O497" s="37"/>
      <c r="P497" s="38"/>
      <c r="Q497" s="39"/>
      <c r="R497" s="1"/>
      <c r="S497" s="1"/>
    </row>
    <row r="499" ht="12.75">
      <c r="P499" s="40"/>
    </row>
    <row r="500" spans="14:19" ht="12.75">
      <c r="N500" s="1"/>
      <c r="O500" s="1"/>
      <c r="P500" s="36"/>
      <c r="Q500" s="1"/>
      <c r="R500" s="1"/>
      <c r="S500" s="2"/>
    </row>
    <row r="501" spans="14:19" ht="12.75">
      <c r="N501" s="1"/>
      <c r="O501" s="1"/>
      <c r="P501" s="1"/>
      <c r="Q501" s="4"/>
      <c r="R501" s="1"/>
      <c r="S501" s="140"/>
    </row>
    <row r="502" spans="14:19" ht="12.75">
      <c r="N502" s="1"/>
      <c r="O502" s="1"/>
      <c r="P502" s="1"/>
      <c r="Q502" s="4"/>
      <c r="R502" s="1"/>
      <c r="S502" s="141"/>
    </row>
    <row r="503" spans="14:19" ht="12.75">
      <c r="N503" s="1"/>
      <c r="O503" s="1"/>
      <c r="P503" s="1"/>
      <c r="Q503" s="4"/>
      <c r="R503" s="34"/>
      <c r="S503" s="141"/>
    </row>
    <row r="504" spans="14:19" ht="12.75">
      <c r="N504" s="1"/>
      <c r="O504" s="1"/>
      <c r="P504" s="1"/>
      <c r="Q504" s="4"/>
      <c r="R504" s="34"/>
      <c r="S504" s="141"/>
    </row>
    <row r="505" spans="14:19" ht="12.75">
      <c r="N505" s="1"/>
      <c r="O505" s="1"/>
      <c r="P505" s="1"/>
      <c r="Q505" s="4"/>
      <c r="R505" s="1"/>
      <c r="S505" s="141"/>
    </row>
    <row r="506" spans="14:19" ht="12.75">
      <c r="N506" s="1"/>
      <c r="O506" s="1"/>
      <c r="P506" s="1"/>
      <c r="Q506" s="4"/>
      <c r="R506" s="1"/>
      <c r="S506" s="141"/>
    </row>
    <row r="507" spans="14:19" ht="12.75">
      <c r="N507" s="1"/>
      <c r="O507" s="1"/>
      <c r="P507" s="1"/>
      <c r="Q507" s="4"/>
      <c r="R507" s="34"/>
      <c r="S507" s="141"/>
    </row>
    <row r="508" spans="14:19" ht="12.75">
      <c r="N508" s="1"/>
      <c r="O508" s="1"/>
      <c r="P508" s="1"/>
      <c r="Q508" s="4"/>
      <c r="R508" s="34"/>
      <c r="S508" s="142"/>
    </row>
    <row r="509" spans="14:19" ht="12.75">
      <c r="N509" s="37"/>
      <c r="O509" s="37"/>
      <c r="P509" s="38"/>
      <c r="Q509" s="39"/>
      <c r="R509" s="1"/>
      <c r="S509" s="1"/>
    </row>
    <row r="510" spans="14:19" ht="12.75">
      <c r="N510" s="1"/>
      <c r="O510" s="1"/>
      <c r="P510" s="36"/>
      <c r="Q510" s="1"/>
      <c r="R510" s="1"/>
      <c r="S510" s="2"/>
    </row>
    <row r="511" spans="14:19" ht="12.75">
      <c r="N511" s="1"/>
      <c r="O511" s="1"/>
      <c r="P511" s="1"/>
      <c r="Q511" s="4"/>
      <c r="R511" s="1"/>
      <c r="S511" s="140"/>
    </row>
    <row r="512" spans="14:19" ht="12.75">
      <c r="N512" s="1"/>
      <c r="O512" s="1"/>
      <c r="P512" s="1"/>
      <c r="Q512" s="4"/>
      <c r="R512" s="1"/>
      <c r="S512" s="141"/>
    </row>
    <row r="513" spans="14:19" ht="12.75">
      <c r="N513" s="1"/>
      <c r="O513" s="1"/>
      <c r="P513" s="1"/>
      <c r="Q513" s="4"/>
      <c r="R513" s="34"/>
      <c r="S513" s="141"/>
    </row>
    <row r="514" spans="14:19" ht="12.75">
      <c r="N514" s="1"/>
      <c r="O514" s="1"/>
      <c r="P514" s="1"/>
      <c r="Q514" s="4"/>
      <c r="R514" s="34"/>
      <c r="S514" s="141"/>
    </row>
    <row r="515" spans="14:19" ht="12.75">
      <c r="N515" s="1"/>
      <c r="O515" s="1"/>
      <c r="P515" s="1"/>
      <c r="Q515" s="4"/>
      <c r="R515" s="1"/>
      <c r="S515" s="141"/>
    </row>
    <row r="516" spans="14:19" ht="12.75">
      <c r="N516" s="1"/>
      <c r="O516" s="1"/>
      <c r="P516" s="1"/>
      <c r="Q516" s="4"/>
      <c r="R516" s="1"/>
      <c r="S516" s="141"/>
    </row>
    <row r="517" spans="14:19" ht="12.75">
      <c r="N517" s="1"/>
      <c r="O517" s="1"/>
      <c r="P517" s="1"/>
      <c r="Q517" s="4"/>
      <c r="R517" s="34"/>
      <c r="S517" s="141"/>
    </row>
    <row r="518" spans="14:19" ht="12.75">
      <c r="N518" s="1"/>
      <c r="O518" s="1"/>
      <c r="P518" s="1"/>
      <c r="Q518" s="4"/>
      <c r="R518" s="34"/>
      <c r="S518" s="142"/>
    </row>
    <row r="519" spans="14:19" ht="12.75">
      <c r="N519" s="37"/>
      <c r="O519" s="37"/>
      <c r="P519" s="38"/>
      <c r="Q519" s="39"/>
      <c r="R519" s="1"/>
      <c r="S519" s="1"/>
    </row>
    <row r="520" spans="14:19" ht="12.75">
      <c r="N520" s="1"/>
      <c r="O520" s="1"/>
      <c r="P520" s="36"/>
      <c r="Q520" s="1"/>
      <c r="R520" s="1"/>
      <c r="S520" s="2"/>
    </row>
    <row r="521" spans="14:19" ht="12.75">
      <c r="N521" s="1"/>
      <c r="O521" s="1"/>
      <c r="P521" s="1"/>
      <c r="Q521" s="4"/>
      <c r="R521" s="1"/>
      <c r="S521" s="140"/>
    </row>
    <row r="522" spans="14:19" ht="12.75">
      <c r="N522" s="1"/>
      <c r="O522" s="1"/>
      <c r="P522" s="1"/>
      <c r="Q522" s="4"/>
      <c r="R522" s="1"/>
      <c r="S522" s="141"/>
    </row>
    <row r="523" spans="14:19" ht="12.75">
      <c r="N523" s="1"/>
      <c r="O523" s="1"/>
      <c r="P523" s="1"/>
      <c r="Q523" s="4"/>
      <c r="R523" s="34"/>
      <c r="S523" s="141"/>
    </row>
    <row r="524" spans="14:19" ht="12.75">
      <c r="N524" s="1"/>
      <c r="O524" s="1"/>
      <c r="P524" s="1"/>
      <c r="Q524" s="4"/>
      <c r="R524" s="34"/>
      <c r="S524" s="141"/>
    </row>
    <row r="525" spans="14:19" ht="12.75">
      <c r="N525" s="1"/>
      <c r="O525" s="1"/>
      <c r="P525" s="1"/>
      <c r="Q525" s="4"/>
      <c r="R525" s="1"/>
      <c r="S525" s="141"/>
    </row>
    <row r="526" spans="14:19" ht="12.75">
      <c r="N526" s="1"/>
      <c r="O526" s="1"/>
      <c r="P526" s="1"/>
      <c r="Q526" s="4"/>
      <c r="R526" s="1"/>
      <c r="S526" s="141"/>
    </row>
    <row r="527" spans="14:19" ht="12.75">
      <c r="N527" s="1"/>
      <c r="O527" s="1"/>
      <c r="P527" s="1"/>
      <c r="Q527" s="4"/>
      <c r="R527" s="34"/>
      <c r="S527" s="141"/>
    </row>
    <row r="528" spans="14:19" ht="12.75">
      <c r="N528" s="1"/>
      <c r="O528" s="1"/>
      <c r="P528" s="1"/>
      <c r="Q528" s="4"/>
      <c r="R528" s="34"/>
      <c r="S528" s="142"/>
    </row>
    <row r="529" spans="14:19" ht="12.75">
      <c r="N529" s="37"/>
      <c r="O529" s="37"/>
      <c r="P529" s="38"/>
      <c r="Q529" s="39"/>
      <c r="R529" s="1"/>
      <c r="S529" s="1"/>
    </row>
    <row r="530" spans="14:19" ht="12.75">
      <c r="N530" s="1"/>
      <c r="O530" s="1"/>
      <c r="P530" s="36"/>
      <c r="Q530" s="1"/>
      <c r="R530" s="1"/>
      <c r="S530" s="2"/>
    </row>
    <row r="531" spans="14:19" ht="12.75">
      <c r="N531" s="1"/>
      <c r="O531" s="1"/>
      <c r="P531" s="1"/>
      <c r="Q531" s="4"/>
      <c r="R531" s="1"/>
      <c r="S531" s="140"/>
    </row>
    <row r="532" spans="14:19" ht="12.75">
      <c r="N532" s="1"/>
      <c r="O532" s="1"/>
      <c r="P532" s="1"/>
      <c r="Q532" s="4"/>
      <c r="R532" s="1"/>
      <c r="S532" s="141"/>
    </row>
    <row r="533" spans="14:19" ht="12.75">
      <c r="N533" s="1"/>
      <c r="O533" s="1"/>
      <c r="P533" s="1"/>
      <c r="Q533" s="4"/>
      <c r="R533" s="34"/>
      <c r="S533" s="141"/>
    </row>
    <row r="534" spans="14:19" ht="12.75">
      <c r="N534" s="1"/>
      <c r="O534" s="1"/>
      <c r="P534" s="1"/>
      <c r="Q534" s="4"/>
      <c r="R534" s="34"/>
      <c r="S534" s="141"/>
    </row>
    <row r="535" spans="14:19" ht="12.75">
      <c r="N535" s="1"/>
      <c r="O535" s="1"/>
      <c r="P535" s="1"/>
      <c r="Q535" s="4"/>
      <c r="R535" s="1"/>
      <c r="S535" s="141"/>
    </row>
    <row r="536" spans="14:19" ht="12.75">
      <c r="N536" s="1"/>
      <c r="O536" s="1"/>
      <c r="P536" s="1"/>
      <c r="Q536" s="4"/>
      <c r="R536" s="1"/>
      <c r="S536" s="141"/>
    </row>
    <row r="537" spans="14:19" ht="12.75">
      <c r="N537" s="1"/>
      <c r="O537" s="1"/>
      <c r="P537" s="1"/>
      <c r="Q537" s="4"/>
      <c r="R537" s="34"/>
      <c r="S537" s="141"/>
    </row>
    <row r="538" spans="14:19" ht="12.75">
      <c r="N538" s="1"/>
      <c r="O538" s="1"/>
      <c r="P538" s="1"/>
      <c r="Q538" s="4"/>
      <c r="R538" s="34"/>
      <c r="S538" s="142"/>
    </row>
    <row r="539" spans="14:19" ht="12.75">
      <c r="N539" s="37"/>
      <c r="O539" s="37"/>
      <c r="P539" s="38"/>
      <c r="Q539" s="39"/>
      <c r="R539" s="1"/>
      <c r="S539" s="1"/>
    </row>
    <row r="540" spans="14:19" ht="12.75">
      <c r="N540" s="1"/>
      <c r="O540" s="1"/>
      <c r="P540" s="36"/>
      <c r="Q540" s="1"/>
      <c r="R540" s="1"/>
      <c r="S540" s="2"/>
    </row>
    <row r="541" spans="14:19" ht="12.75">
      <c r="N541" s="1"/>
      <c r="O541" s="1"/>
      <c r="P541" s="1"/>
      <c r="Q541" s="4"/>
      <c r="R541" s="1"/>
      <c r="S541" s="140"/>
    </row>
    <row r="542" spans="14:19" ht="12.75">
      <c r="N542" s="1"/>
      <c r="O542" s="1"/>
      <c r="P542" s="1"/>
      <c r="Q542" s="4"/>
      <c r="R542" s="1"/>
      <c r="S542" s="141"/>
    </row>
    <row r="543" spans="14:19" ht="12.75">
      <c r="N543" s="1"/>
      <c r="O543" s="1"/>
      <c r="P543" s="1"/>
      <c r="Q543" s="4"/>
      <c r="R543" s="34"/>
      <c r="S543" s="141"/>
    </row>
    <row r="544" spans="14:19" ht="12.75">
      <c r="N544" s="1"/>
      <c r="O544" s="1"/>
      <c r="P544" s="1"/>
      <c r="Q544" s="4"/>
      <c r="R544" s="34"/>
      <c r="S544" s="141"/>
    </row>
    <row r="545" spans="14:19" ht="12.75">
      <c r="N545" s="1"/>
      <c r="O545" s="1"/>
      <c r="P545" s="1"/>
      <c r="Q545" s="4"/>
      <c r="R545" s="1"/>
      <c r="S545" s="141"/>
    </row>
    <row r="546" spans="14:19" ht="12.75">
      <c r="N546" s="1"/>
      <c r="O546" s="1"/>
      <c r="P546" s="1"/>
      <c r="Q546" s="4"/>
      <c r="R546" s="1"/>
      <c r="S546" s="141"/>
    </row>
    <row r="547" spans="14:19" ht="12.75">
      <c r="N547" s="1"/>
      <c r="O547" s="1"/>
      <c r="P547" s="1"/>
      <c r="Q547" s="4"/>
      <c r="R547" s="34"/>
      <c r="S547" s="141"/>
    </row>
    <row r="548" spans="14:19" ht="12.75">
      <c r="N548" s="1"/>
      <c r="O548" s="1"/>
      <c r="P548" s="1"/>
      <c r="Q548" s="4"/>
      <c r="R548" s="34"/>
      <c r="S548" s="142"/>
    </row>
    <row r="549" spans="14:19" ht="12.75">
      <c r="N549" s="37"/>
      <c r="O549" s="37"/>
      <c r="P549" s="38"/>
      <c r="Q549" s="39"/>
      <c r="R549" s="1"/>
      <c r="S549" s="1"/>
    </row>
    <row r="550" spans="14:19" ht="12.75">
      <c r="N550" s="1"/>
      <c r="O550" s="1"/>
      <c r="P550" s="36"/>
      <c r="Q550" s="1"/>
      <c r="R550" s="1"/>
      <c r="S550" s="2"/>
    </row>
    <row r="551" spans="14:19" ht="12.75">
      <c r="N551" s="1"/>
      <c r="O551" s="1"/>
      <c r="P551" s="1"/>
      <c r="Q551" s="4"/>
      <c r="R551" s="1"/>
      <c r="S551" s="140"/>
    </row>
    <row r="552" spans="14:19" ht="12.75">
      <c r="N552" s="1"/>
      <c r="O552" s="1"/>
      <c r="P552" s="1"/>
      <c r="Q552" s="4"/>
      <c r="R552" s="1"/>
      <c r="S552" s="141"/>
    </row>
    <row r="553" spans="14:19" ht="12.75">
      <c r="N553" s="1"/>
      <c r="O553" s="1"/>
      <c r="P553" s="1"/>
      <c r="Q553" s="4"/>
      <c r="R553" s="34"/>
      <c r="S553" s="141"/>
    </row>
    <row r="554" spans="14:19" ht="12.75">
      <c r="N554" s="1"/>
      <c r="O554" s="1"/>
      <c r="P554" s="1"/>
      <c r="Q554" s="4"/>
      <c r="R554" s="34"/>
      <c r="S554" s="141"/>
    </row>
    <row r="555" spans="14:19" ht="12.75">
      <c r="N555" s="1"/>
      <c r="O555" s="1"/>
      <c r="P555" s="1"/>
      <c r="Q555" s="4"/>
      <c r="R555" s="1"/>
      <c r="S555" s="141"/>
    </row>
    <row r="556" spans="14:19" ht="12.75">
      <c r="N556" s="1"/>
      <c r="O556" s="1"/>
      <c r="P556" s="1"/>
      <c r="Q556" s="4"/>
      <c r="R556" s="1"/>
      <c r="S556" s="141"/>
    </row>
    <row r="557" spans="14:19" ht="12.75">
      <c r="N557" s="1"/>
      <c r="O557" s="1"/>
      <c r="P557" s="1"/>
      <c r="Q557" s="4"/>
      <c r="R557" s="34"/>
      <c r="S557" s="141"/>
    </row>
    <row r="558" spans="14:19" ht="12.75">
      <c r="N558" s="1"/>
      <c r="O558" s="1"/>
      <c r="P558" s="1"/>
      <c r="Q558" s="4"/>
      <c r="R558" s="34"/>
      <c r="S558" s="142"/>
    </row>
    <row r="559" spans="14:19" ht="12.75">
      <c r="N559" s="37"/>
      <c r="O559" s="37"/>
      <c r="P559" s="38"/>
      <c r="Q559" s="39"/>
      <c r="R559" s="1"/>
      <c r="S559" s="1"/>
    </row>
    <row r="560" spans="14:19" ht="12.75">
      <c r="N560" s="1"/>
      <c r="O560" s="1"/>
      <c r="P560" s="36"/>
      <c r="Q560" s="1"/>
      <c r="R560" s="1"/>
      <c r="S560" s="2"/>
    </row>
    <row r="561" spans="14:19" ht="12.75">
      <c r="N561" s="1"/>
      <c r="O561" s="1"/>
      <c r="P561" s="1"/>
      <c r="Q561" s="4"/>
      <c r="R561" s="1"/>
      <c r="S561" s="140"/>
    </row>
    <row r="562" spans="14:19" ht="12.75">
      <c r="N562" s="1"/>
      <c r="O562" s="1"/>
      <c r="P562" s="1"/>
      <c r="Q562" s="4"/>
      <c r="R562" s="1"/>
      <c r="S562" s="141"/>
    </row>
    <row r="563" spans="14:19" ht="12.75">
      <c r="N563" s="1"/>
      <c r="O563" s="1"/>
      <c r="P563" s="1"/>
      <c r="Q563" s="4"/>
      <c r="R563" s="34"/>
      <c r="S563" s="141"/>
    </row>
    <row r="564" spans="14:19" ht="12.75">
      <c r="N564" s="1"/>
      <c r="O564" s="1"/>
      <c r="P564" s="1"/>
      <c r="Q564" s="4"/>
      <c r="R564" s="34"/>
      <c r="S564" s="141"/>
    </row>
    <row r="565" spans="14:19" ht="12.75">
      <c r="N565" s="1"/>
      <c r="O565" s="1"/>
      <c r="P565" s="1"/>
      <c r="Q565" s="4"/>
      <c r="R565" s="1"/>
      <c r="S565" s="141"/>
    </row>
    <row r="566" spans="14:19" ht="12.75">
      <c r="N566" s="1"/>
      <c r="O566" s="1"/>
      <c r="P566" s="1"/>
      <c r="Q566" s="4"/>
      <c r="R566" s="1"/>
      <c r="S566" s="141"/>
    </row>
    <row r="567" spans="14:19" ht="12.75">
      <c r="N567" s="1"/>
      <c r="O567" s="1"/>
      <c r="P567" s="1"/>
      <c r="Q567" s="4"/>
      <c r="R567" s="34"/>
      <c r="S567" s="141"/>
    </row>
    <row r="568" spans="14:19" ht="12.75">
      <c r="N568" s="1"/>
      <c r="O568" s="1"/>
      <c r="P568" s="1"/>
      <c r="Q568" s="4"/>
      <c r="R568" s="34"/>
      <c r="S568" s="142"/>
    </row>
    <row r="569" spans="14:19" ht="12.75">
      <c r="N569" s="37"/>
      <c r="O569" s="37"/>
      <c r="P569" s="38"/>
      <c r="Q569" s="39"/>
      <c r="R569" s="1"/>
      <c r="S569" s="1"/>
    </row>
    <row r="570" spans="14:19" ht="12.75">
      <c r="N570" s="1"/>
      <c r="O570" s="1"/>
      <c r="P570" s="36"/>
      <c r="Q570" s="1"/>
      <c r="R570" s="1"/>
      <c r="S570" s="2"/>
    </row>
    <row r="571" spans="14:19" ht="12.75">
      <c r="N571" s="1"/>
      <c r="O571" s="1"/>
      <c r="P571" s="1"/>
      <c r="Q571" s="4"/>
      <c r="R571" s="1"/>
      <c r="S571" s="140"/>
    </row>
    <row r="572" spans="14:19" ht="12.75">
      <c r="N572" s="1"/>
      <c r="O572" s="1"/>
      <c r="P572" s="1"/>
      <c r="Q572" s="4"/>
      <c r="R572" s="1"/>
      <c r="S572" s="141"/>
    </row>
    <row r="573" spans="14:19" ht="12.75">
      <c r="N573" s="1"/>
      <c r="O573" s="1"/>
      <c r="P573" s="1"/>
      <c r="Q573" s="4"/>
      <c r="R573" s="34"/>
      <c r="S573" s="141"/>
    </row>
    <row r="574" spans="14:19" ht="12.75">
      <c r="N574" s="1"/>
      <c r="O574" s="1"/>
      <c r="P574" s="1"/>
      <c r="Q574" s="4"/>
      <c r="R574" s="34"/>
      <c r="S574" s="141"/>
    </row>
    <row r="575" spans="14:19" ht="12.75">
      <c r="N575" s="1"/>
      <c r="O575" s="1"/>
      <c r="P575" s="1"/>
      <c r="Q575" s="4"/>
      <c r="R575" s="1"/>
      <c r="S575" s="141"/>
    </row>
    <row r="576" spans="14:19" ht="12.75">
      <c r="N576" s="1"/>
      <c r="O576" s="1"/>
      <c r="P576" s="1"/>
      <c r="Q576" s="4"/>
      <c r="R576" s="1"/>
      <c r="S576" s="141"/>
    </row>
    <row r="577" spans="14:19" ht="12.75">
      <c r="N577" s="1"/>
      <c r="O577" s="1"/>
      <c r="P577" s="1"/>
      <c r="Q577" s="4"/>
      <c r="R577" s="34"/>
      <c r="S577" s="141"/>
    </row>
    <row r="578" spans="14:19" ht="12.75">
      <c r="N578" s="1"/>
      <c r="O578" s="1"/>
      <c r="P578" s="1"/>
      <c r="Q578" s="4"/>
      <c r="R578" s="34"/>
      <c r="S578" s="142"/>
    </row>
    <row r="579" spans="14:19" ht="12.75">
      <c r="N579" s="37"/>
      <c r="O579" s="37"/>
      <c r="P579" s="38"/>
      <c r="Q579" s="39"/>
      <c r="R579" s="1"/>
      <c r="S579" s="1"/>
    </row>
    <row r="581" ht="12.75">
      <c r="P581" s="40"/>
    </row>
    <row r="582" spans="14:19" ht="12.75">
      <c r="N582" s="1"/>
      <c r="O582" s="1"/>
      <c r="P582" s="36"/>
      <c r="Q582" s="1"/>
      <c r="R582" s="1"/>
      <c r="S582" s="2"/>
    </row>
    <row r="583" spans="14:19" ht="12.75">
      <c r="N583" s="1"/>
      <c r="O583" s="1"/>
      <c r="P583" s="1"/>
      <c r="Q583" s="4"/>
      <c r="R583" s="1"/>
      <c r="S583" s="140"/>
    </row>
    <row r="584" spans="14:19" ht="12.75">
      <c r="N584" s="1"/>
      <c r="O584" s="1"/>
      <c r="P584" s="1"/>
      <c r="Q584" s="4"/>
      <c r="R584" s="1"/>
      <c r="S584" s="141"/>
    </row>
    <row r="585" spans="14:19" ht="12.75">
      <c r="N585" s="1"/>
      <c r="O585" s="1"/>
      <c r="P585" s="1"/>
      <c r="Q585" s="4"/>
      <c r="R585" s="34"/>
      <c r="S585" s="141"/>
    </row>
    <row r="586" spans="14:19" ht="12.75">
      <c r="N586" s="1"/>
      <c r="O586" s="1"/>
      <c r="P586" s="1"/>
      <c r="Q586" s="4"/>
      <c r="R586" s="34"/>
      <c r="S586" s="141"/>
    </row>
    <row r="587" spans="14:19" ht="12.75">
      <c r="N587" s="1"/>
      <c r="O587" s="1"/>
      <c r="P587" s="1"/>
      <c r="Q587" s="4"/>
      <c r="R587" s="1"/>
      <c r="S587" s="141"/>
    </row>
    <row r="588" spans="14:19" ht="12.75">
      <c r="N588" s="1"/>
      <c r="O588" s="1"/>
      <c r="P588" s="1"/>
      <c r="Q588" s="4"/>
      <c r="R588" s="1"/>
      <c r="S588" s="141"/>
    </row>
    <row r="589" spans="14:19" ht="12.75">
      <c r="N589" s="1"/>
      <c r="O589" s="1"/>
      <c r="P589" s="1"/>
      <c r="Q589" s="4"/>
      <c r="R589" s="34"/>
      <c r="S589" s="141"/>
    </row>
    <row r="590" spans="14:19" ht="12.75">
      <c r="N590" s="1"/>
      <c r="O590" s="1"/>
      <c r="P590" s="1"/>
      <c r="Q590" s="4"/>
      <c r="R590" s="34"/>
      <c r="S590" s="142"/>
    </row>
    <row r="591" spans="14:19" ht="12.75">
      <c r="N591" s="37"/>
      <c r="O591" s="37"/>
      <c r="P591" s="38"/>
      <c r="Q591" s="39"/>
      <c r="R591" s="1"/>
      <c r="S591" s="1"/>
    </row>
    <row r="592" spans="14:19" ht="12.75">
      <c r="N592" s="1"/>
      <c r="O592" s="1"/>
      <c r="P592" s="36"/>
      <c r="Q592" s="1"/>
      <c r="R592" s="1"/>
      <c r="S592" s="2"/>
    </row>
    <row r="593" spans="14:19" ht="12.75">
      <c r="N593" s="1"/>
      <c r="O593" s="1"/>
      <c r="P593" s="1"/>
      <c r="Q593" s="4"/>
      <c r="R593" s="1"/>
      <c r="S593" s="140"/>
    </row>
    <row r="594" spans="14:19" ht="12.75">
      <c r="N594" s="1"/>
      <c r="O594" s="1"/>
      <c r="P594" s="1"/>
      <c r="Q594" s="4"/>
      <c r="R594" s="1"/>
      <c r="S594" s="141"/>
    </row>
    <row r="595" spans="14:19" ht="12.75">
      <c r="N595" s="1"/>
      <c r="O595" s="1"/>
      <c r="P595" s="1"/>
      <c r="Q595" s="4"/>
      <c r="R595" s="34"/>
      <c r="S595" s="141"/>
    </row>
    <row r="596" spans="14:19" ht="12.75">
      <c r="N596" s="1"/>
      <c r="O596" s="1"/>
      <c r="P596" s="1"/>
      <c r="Q596" s="4"/>
      <c r="R596" s="34"/>
      <c r="S596" s="141"/>
    </row>
    <row r="597" spans="14:19" ht="12.75">
      <c r="N597" s="1"/>
      <c r="O597" s="1"/>
      <c r="P597" s="1"/>
      <c r="Q597" s="4"/>
      <c r="R597" s="1"/>
      <c r="S597" s="141"/>
    </row>
    <row r="598" spans="14:19" ht="12.75">
      <c r="N598" s="1"/>
      <c r="O598" s="1"/>
      <c r="P598" s="1"/>
      <c r="Q598" s="4"/>
      <c r="R598" s="1"/>
      <c r="S598" s="141"/>
    </row>
    <row r="599" spans="14:19" ht="12.75">
      <c r="N599" s="1"/>
      <c r="O599" s="1"/>
      <c r="P599" s="1"/>
      <c r="Q599" s="4"/>
      <c r="R599" s="34"/>
      <c r="S599" s="141"/>
    </row>
    <row r="600" spans="14:19" ht="12.75">
      <c r="N600" s="1"/>
      <c r="O600" s="1"/>
      <c r="P600" s="1"/>
      <c r="Q600" s="4"/>
      <c r="R600" s="34"/>
      <c r="S600" s="142"/>
    </row>
    <row r="601" spans="14:19" ht="12.75">
      <c r="N601" s="37"/>
      <c r="O601" s="37"/>
      <c r="P601" s="38"/>
      <c r="Q601" s="39"/>
      <c r="R601" s="1"/>
      <c r="S601" s="1"/>
    </row>
    <row r="602" spans="14:19" ht="12.75">
      <c r="N602" s="1"/>
      <c r="O602" s="1"/>
      <c r="P602" s="36"/>
      <c r="Q602" s="1"/>
      <c r="R602" s="1"/>
      <c r="S602" s="2"/>
    </row>
    <row r="603" spans="14:19" ht="12.75">
      <c r="N603" s="1"/>
      <c r="O603" s="1"/>
      <c r="P603" s="1"/>
      <c r="Q603" s="4"/>
      <c r="R603" s="1"/>
      <c r="S603" s="140"/>
    </row>
    <row r="604" spans="14:19" ht="12.75">
      <c r="N604" s="1"/>
      <c r="O604" s="1"/>
      <c r="P604" s="1"/>
      <c r="Q604" s="4"/>
      <c r="R604" s="1"/>
      <c r="S604" s="141"/>
    </row>
    <row r="605" spans="14:19" ht="12.75">
      <c r="N605" s="1"/>
      <c r="O605" s="1"/>
      <c r="P605" s="1"/>
      <c r="Q605" s="4"/>
      <c r="R605" s="34"/>
      <c r="S605" s="141"/>
    </row>
    <row r="606" spans="14:19" ht="12.75">
      <c r="N606" s="1"/>
      <c r="O606" s="1"/>
      <c r="P606" s="1"/>
      <c r="Q606" s="4"/>
      <c r="R606" s="34"/>
      <c r="S606" s="141"/>
    </row>
    <row r="607" spans="14:19" ht="12.75">
      <c r="N607" s="1"/>
      <c r="O607" s="1"/>
      <c r="P607" s="1"/>
      <c r="Q607" s="4"/>
      <c r="R607" s="1"/>
      <c r="S607" s="141"/>
    </row>
    <row r="608" spans="14:19" ht="12.75">
      <c r="N608" s="1"/>
      <c r="O608" s="1"/>
      <c r="P608" s="1"/>
      <c r="Q608" s="4"/>
      <c r="R608" s="1"/>
      <c r="S608" s="141"/>
    </row>
    <row r="609" spans="14:19" ht="12.75">
      <c r="N609" s="1"/>
      <c r="O609" s="1"/>
      <c r="P609" s="1"/>
      <c r="Q609" s="4"/>
      <c r="R609" s="34"/>
      <c r="S609" s="141"/>
    </row>
    <row r="610" spans="14:19" ht="12.75">
      <c r="N610" s="1"/>
      <c r="O610" s="1"/>
      <c r="P610" s="1"/>
      <c r="Q610" s="4"/>
      <c r="R610" s="34"/>
      <c r="S610" s="142"/>
    </row>
    <row r="611" spans="14:19" ht="12.75">
      <c r="N611" s="37"/>
      <c r="O611" s="37"/>
      <c r="P611" s="38"/>
      <c r="Q611" s="39"/>
      <c r="R611" s="1"/>
      <c r="S611" s="1"/>
    </row>
    <row r="612" spans="14:19" ht="12.75">
      <c r="N612" s="1"/>
      <c r="O612" s="1"/>
      <c r="P612" s="36"/>
      <c r="Q612" s="1"/>
      <c r="R612" s="1"/>
      <c r="S612" s="2"/>
    </row>
    <row r="613" spans="14:19" ht="12.75">
      <c r="N613" s="1"/>
      <c r="O613" s="1"/>
      <c r="P613" s="1"/>
      <c r="Q613" s="4"/>
      <c r="R613" s="1"/>
      <c r="S613" s="140"/>
    </row>
    <row r="614" spans="14:19" ht="12.75">
      <c r="N614" s="1"/>
      <c r="O614" s="1"/>
      <c r="P614" s="1"/>
      <c r="Q614" s="4"/>
      <c r="R614" s="1"/>
      <c r="S614" s="141"/>
    </row>
    <row r="615" spans="14:19" ht="12.75">
      <c r="N615" s="1"/>
      <c r="O615" s="1"/>
      <c r="P615" s="1"/>
      <c r="Q615" s="4"/>
      <c r="R615" s="34"/>
      <c r="S615" s="141"/>
    </row>
    <row r="616" spans="14:19" ht="12.75">
      <c r="N616" s="1"/>
      <c r="O616" s="1"/>
      <c r="P616" s="1"/>
      <c r="Q616" s="4"/>
      <c r="R616" s="34"/>
      <c r="S616" s="141"/>
    </row>
    <row r="617" spans="14:19" ht="12.75">
      <c r="N617" s="1"/>
      <c r="O617" s="1"/>
      <c r="P617" s="1"/>
      <c r="Q617" s="4"/>
      <c r="R617" s="1"/>
      <c r="S617" s="141"/>
    </row>
    <row r="618" spans="14:19" ht="12.75">
      <c r="N618" s="1"/>
      <c r="O618" s="1"/>
      <c r="P618" s="1"/>
      <c r="Q618" s="4"/>
      <c r="R618" s="1"/>
      <c r="S618" s="141"/>
    </row>
    <row r="619" spans="14:19" ht="12.75">
      <c r="N619" s="1"/>
      <c r="O619" s="1"/>
      <c r="P619" s="1"/>
      <c r="Q619" s="4"/>
      <c r="R619" s="34"/>
      <c r="S619" s="141"/>
    </row>
    <row r="620" spans="14:19" ht="12.75">
      <c r="N620" s="1"/>
      <c r="O620" s="1"/>
      <c r="P620" s="1"/>
      <c r="Q620" s="4"/>
      <c r="R620" s="34"/>
      <c r="S620" s="142"/>
    </row>
    <row r="621" spans="14:19" ht="12.75">
      <c r="N621" s="37"/>
      <c r="O621" s="37"/>
      <c r="P621" s="38"/>
      <c r="Q621" s="39"/>
      <c r="R621" s="1"/>
      <c r="S621" s="1"/>
    </row>
    <row r="622" spans="14:19" ht="12.75">
      <c r="N622" s="1"/>
      <c r="O622" s="1"/>
      <c r="P622" s="36"/>
      <c r="Q622" s="1"/>
      <c r="R622" s="1"/>
      <c r="S622" s="2"/>
    </row>
    <row r="623" spans="14:19" ht="12.75">
      <c r="N623" s="1"/>
      <c r="O623" s="1"/>
      <c r="P623" s="1"/>
      <c r="Q623" s="4"/>
      <c r="R623" s="1"/>
      <c r="S623" s="140"/>
    </row>
    <row r="624" spans="14:19" ht="12.75">
      <c r="N624" s="1"/>
      <c r="O624" s="1"/>
      <c r="P624" s="1"/>
      <c r="Q624" s="4"/>
      <c r="R624" s="1"/>
      <c r="S624" s="141"/>
    </row>
    <row r="625" spans="14:19" ht="12.75">
      <c r="N625" s="1"/>
      <c r="O625" s="1"/>
      <c r="P625" s="1"/>
      <c r="Q625" s="4"/>
      <c r="R625" s="34"/>
      <c r="S625" s="141"/>
    </row>
    <row r="626" spans="14:19" ht="12.75">
      <c r="N626" s="1"/>
      <c r="O626" s="1"/>
      <c r="P626" s="1"/>
      <c r="Q626" s="4"/>
      <c r="R626" s="34"/>
      <c r="S626" s="141"/>
    </row>
    <row r="627" spans="14:19" ht="12.75">
      <c r="N627" s="1"/>
      <c r="O627" s="1"/>
      <c r="P627" s="1"/>
      <c r="Q627" s="4"/>
      <c r="R627" s="1"/>
      <c r="S627" s="141"/>
    </row>
    <row r="628" spans="14:19" ht="12.75">
      <c r="N628" s="1"/>
      <c r="O628" s="1"/>
      <c r="P628" s="1"/>
      <c r="Q628" s="4"/>
      <c r="R628" s="1"/>
      <c r="S628" s="141"/>
    </row>
    <row r="629" spans="14:19" ht="12.75">
      <c r="N629" s="1"/>
      <c r="O629" s="1"/>
      <c r="P629" s="1"/>
      <c r="Q629" s="4"/>
      <c r="R629" s="34"/>
      <c r="S629" s="141"/>
    </row>
    <row r="630" spans="14:19" ht="12.75">
      <c r="N630" s="1"/>
      <c r="O630" s="1"/>
      <c r="P630" s="1"/>
      <c r="Q630" s="4"/>
      <c r="R630" s="34"/>
      <c r="S630" s="142"/>
    </row>
    <row r="631" spans="14:19" ht="12.75">
      <c r="N631" s="37"/>
      <c r="O631" s="37"/>
      <c r="P631" s="38"/>
      <c r="Q631" s="39"/>
      <c r="R631" s="1"/>
      <c r="S631" s="1"/>
    </row>
    <row r="632" spans="14:19" ht="12.75">
      <c r="N632" s="1"/>
      <c r="O632" s="1"/>
      <c r="P632" s="36"/>
      <c r="Q632" s="1"/>
      <c r="R632" s="1"/>
      <c r="S632" s="2"/>
    </row>
    <row r="633" spans="14:19" ht="12.75">
      <c r="N633" s="1"/>
      <c r="O633" s="1"/>
      <c r="P633" s="1"/>
      <c r="Q633" s="4"/>
      <c r="R633" s="1"/>
      <c r="S633" s="140"/>
    </row>
    <row r="634" spans="14:19" ht="12.75">
      <c r="N634" s="1"/>
      <c r="O634" s="1"/>
      <c r="P634" s="1"/>
      <c r="Q634" s="4"/>
      <c r="R634" s="1"/>
      <c r="S634" s="141"/>
    </row>
    <row r="635" spans="14:19" ht="12.75">
      <c r="N635" s="1"/>
      <c r="O635" s="1"/>
      <c r="P635" s="1"/>
      <c r="Q635" s="4"/>
      <c r="R635" s="34"/>
      <c r="S635" s="141"/>
    </row>
    <row r="636" spans="14:19" ht="12.75">
      <c r="N636" s="1"/>
      <c r="O636" s="1"/>
      <c r="P636" s="1"/>
      <c r="Q636" s="4"/>
      <c r="R636" s="34"/>
      <c r="S636" s="141"/>
    </row>
    <row r="637" spans="14:19" ht="12.75">
      <c r="N637" s="1"/>
      <c r="O637" s="1"/>
      <c r="P637" s="1"/>
      <c r="Q637" s="4"/>
      <c r="R637" s="1"/>
      <c r="S637" s="141"/>
    </row>
    <row r="638" spans="14:19" ht="12.75">
      <c r="N638" s="1"/>
      <c r="O638" s="1"/>
      <c r="P638" s="1"/>
      <c r="Q638" s="4"/>
      <c r="R638" s="1"/>
      <c r="S638" s="141"/>
    </row>
    <row r="639" spans="14:19" ht="12.75">
      <c r="N639" s="1"/>
      <c r="O639" s="1"/>
      <c r="P639" s="1"/>
      <c r="Q639" s="4"/>
      <c r="R639" s="34"/>
      <c r="S639" s="141"/>
    </row>
    <row r="640" spans="14:19" ht="12.75">
      <c r="N640" s="1"/>
      <c r="O640" s="1"/>
      <c r="P640" s="1"/>
      <c r="Q640" s="4"/>
      <c r="R640" s="34"/>
      <c r="S640" s="142"/>
    </row>
    <row r="641" spans="14:19" ht="12.75">
      <c r="N641" s="37"/>
      <c r="O641" s="37"/>
      <c r="P641" s="38"/>
      <c r="Q641" s="39"/>
      <c r="R641" s="1"/>
      <c r="S641" s="1"/>
    </row>
    <row r="642" spans="14:19" ht="12.75">
      <c r="N642" s="1"/>
      <c r="O642" s="1"/>
      <c r="P642" s="36"/>
      <c r="Q642" s="1"/>
      <c r="R642" s="1"/>
      <c r="S642" s="2"/>
    </row>
    <row r="643" spans="14:19" ht="12.75">
      <c r="N643" s="1"/>
      <c r="O643" s="1"/>
      <c r="P643" s="1"/>
      <c r="Q643" s="4"/>
      <c r="R643" s="1"/>
      <c r="S643" s="140"/>
    </row>
    <row r="644" spans="14:19" ht="12.75">
      <c r="N644" s="1"/>
      <c r="O644" s="1"/>
      <c r="P644" s="1"/>
      <c r="Q644" s="4"/>
      <c r="R644" s="1"/>
      <c r="S644" s="141"/>
    </row>
    <row r="645" spans="14:19" ht="12.75">
      <c r="N645" s="1"/>
      <c r="O645" s="1"/>
      <c r="P645" s="1"/>
      <c r="Q645" s="4"/>
      <c r="R645" s="34"/>
      <c r="S645" s="141"/>
    </row>
    <row r="646" spans="14:19" ht="12.75">
      <c r="N646" s="1"/>
      <c r="O646" s="1"/>
      <c r="P646" s="1"/>
      <c r="Q646" s="4"/>
      <c r="R646" s="34"/>
      <c r="S646" s="141"/>
    </row>
    <row r="647" spans="14:19" ht="12.75">
      <c r="N647" s="1"/>
      <c r="O647" s="1"/>
      <c r="P647" s="1"/>
      <c r="Q647" s="4"/>
      <c r="R647" s="1"/>
      <c r="S647" s="141"/>
    </row>
    <row r="648" spans="14:19" ht="12.75">
      <c r="N648" s="1"/>
      <c r="O648" s="1"/>
      <c r="P648" s="1"/>
      <c r="Q648" s="4"/>
      <c r="R648" s="1"/>
      <c r="S648" s="141"/>
    </row>
    <row r="649" spans="14:19" ht="12.75">
      <c r="N649" s="1"/>
      <c r="O649" s="1"/>
      <c r="P649" s="1"/>
      <c r="Q649" s="4"/>
      <c r="R649" s="34"/>
      <c r="S649" s="141"/>
    </row>
    <row r="650" spans="14:19" ht="12.75">
      <c r="N650" s="1"/>
      <c r="O650" s="1"/>
      <c r="P650" s="1"/>
      <c r="Q650" s="4"/>
      <c r="R650" s="34"/>
      <c r="S650" s="142"/>
    </row>
    <row r="651" spans="14:19" ht="12.75">
      <c r="N651" s="37"/>
      <c r="O651" s="37"/>
      <c r="P651" s="38"/>
      <c r="Q651" s="39"/>
      <c r="R651" s="1"/>
      <c r="S651" s="1"/>
    </row>
    <row r="652" spans="14:19" ht="12.75">
      <c r="N652" s="1"/>
      <c r="O652" s="1"/>
      <c r="P652" s="36"/>
      <c r="Q652" s="1"/>
      <c r="R652" s="1"/>
      <c r="S652" s="2"/>
    </row>
    <row r="653" spans="14:19" ht="12.75">
      <c r="N653" s="1"/>
      <c r="O653" s="1"/>
      <c r="P653" s="1"/>
      <c r="Q653" s="4"/>
      <c r="R653" s="1"/>
      <c r="S653" s="140"/>
    </row>
    <row r="654" spans="14:19" ht="12.75">
      <c r="N654" s="1"/>
      <c r="O654" s="1"/>
      <c r="P654" s="1"/>
      <c r="Q654" s="4"/>
      <c r="R654" s="1"/>
      <c r="S654" s="141"/>
    </row>
    <row r="655" spans="14:19" ht="12.75">
      <c r="N655" s="1"/>
      <c r="O655" s="1"/>
      <c r="P655" s="1"/>
      <c r="Q655" s="4"/>
      <c r="R655" s="34"/>
      <c r="S655" s="141"/>
    </row>
    <row r="656" spans="14:19" ht="12.75">
      <c r="N656" s="1"/>
      <c r="O656" s="1"/>
      <c r="P656" s="1"/>
      <c r="Q656" s="4"/>
      <c r="R656" s="34"/>
      <c r="S656" s="141"/>
    </row>
    <row r="657" spans="14:19" ht="12.75">
      <c r="N657" s="1"/>
      <c r="O657" s="1"/>
      <c r="P657" s="1"/>
      <c r="Q657" s="4"/>
      <c r="R657" s="1"/>
      <c r="S657" s="141"/>
    </row>
    <row r="658" spans="14:19" ht="12.75">
      <c r="N658" s="1"/>
      <c r="O658" s="1"/>
      <c r="P658" s="1"/>
      <c r="Q658" s="4"/>
      <c r="R658" s="1"/>
      <c r="S658" s="141"/>
    </row>
    <row r="659" spans="14:19" ht="12.75">
      <c r="N659" s="1"/>
      <c r="O659" s="1"/>
      <c r="P659" s="1"/>
      <c r="Q659" s="4"/>
      <c r="R659" s="34"/>
      <c r="S659" s="141"/>
    </row>
    <row r="660" spans="14:19" ht="12.75">
      <c r="N660" s="1"/>
      <c r="O660" s="1"/>
      <c r="P660" s="1"/>
      <c r="Q660" s="4"/>
      <c r="R660" s="34"/>
      <c r="S660" s="142"/>
    </row>
    <row r="661" spans="14:19" ht="12.75">
      <c r="N661" s="37"/>
      <c r="O661" s="37"/>
      <c r="P661" s="38"/>
      <c r="Q661" s="39"/>
      <c r="R661" s="1"/>
      <c r="S661" s="1"/>
    </row>
  </sheetData>
  <mergeCells count="86">
    <mergeCell ref="J234:K238"/>
    <mergeCell ref="S653:S660"/>
    <mergeCell ref="J325:K329"/>
    <mergeCell ref="N4:R4"/>
    <mergeCell ref="N5:T5"/>
    <mergeCell ref="S613:S620"/>
    <mergeCell ref="S623:S630"/>
    <mergeCell ref="S633:S640"/>
    <mergeCell ref="S643:S650"/>
    <mergeCell ref="S571:S578"/>
    <mergeCell ref="S521:S528"/>
    <mergeCell ref="S583:S590"/>
    <mergeCell ref="S593:S600"/>
    <mergeCell ref="S603:S610"/>
    <mergeCell ref="S531:S538"/>
    <mergeCell ref="S541:S548"/>
    <mergeCell ref="S551:S558"/>
    <mergeCell ref="S561:S568"/>
    <mergeCell ref="S479:S486"/>
    <mergeCell ref="S489:S496"/>
    <mergeCell ref="S501:S508"/>
    <mergeCell ref="S511:S518"/>
    <mergeCell ref="S439:S446"/>
    <mergeCell ref="S449:S456"/>
    <mergeCell ref="S459:S466"/>
    <mergeCell ref="S469:S476"/>
    <mergeCell ref="S397:S404"/>
    <mergeCell ref="S407:S414"/>
    <mergeCell ref="S419:S426"/>
    <mergeCell ref="S429:S436"/>
    <mergeCell ref="S357:S364"/>
    <mergeCell ref="S367:S374"/>
    <mergeCell ref="S377:S384"/>
    <mergeCell ref="S387:S394"/>
    <mergeCell ref="S315:S322"/>
    <mergeCell ref="S325:S332"/>
    <mergeCell ref="S337:S344"/>
    <mergeCell ref="S347:S354"/>
    <mergeCell ref="S275:S282"/>
    <mergeCell ref="S285:S292"/>
    <mergeCell ref="S295:S302"/>
    <mergeCell ref="S305:S312"/>
    <mergeCell ref="S233:S240"/>
    <mergeCell ref="S243:S250"/>
    <mergeCell ref="S255:S262"/>
    <mergeCell ref="S265:S272"/>
    <mergeCell ref="S193:S200"/>
    <mergeCell ref="S203:S210"/>
    <mergeCell ref="S213:S220"/>
    <mergeCell ref="S223:S230"/>
    <mergeCell ref="S151:S158"/>
    <mergeCell ref="S161:S168"/>
    <mergeCell ref="S173:S180"/>
    <mergeCell ref="S183:S190"/>
    <mergeCell ref="S49:S56"/>
    <mergeCell ref="S59:S66"/>
    <mergeCell ref="S69:S76"/>
    <mergeCell ref="S79:S86"/>
    <mergeCell ref="H62:J62"/>
    <mergeCell ref="S91:S98"/>
    <mergeCell ref="S101:S108"/>
    <mergeCell ref="S111:S118"/>
    <mergeCell ref="K97:K147"/>
    <mergeCell ref="S121:S128"/>
    <mergeCell ref="S131:S138"/>
    <mergeCell ref="S141:S148"/>
    <mergeCell ref="S9:S16"/>
    <mergeCell ref="S19:S26"/>
    <mergeCell ref="S29:S36"/>
    <mergeCell ref="S39:S46"/>
    <mergeCell ref="C1:E1"/>
    <mergeCell ref="B2:F2"/>
    <mergeCell ref="B5:E5"/>
    <mergeCell ref="F7:F34"/>
    <mergeCell ref="B4:F4"/>
    <mergeCell ref="B3:F3"/>
    <mergeCell ref="L6:L7"/>
    <mergeCell ref="K6:K7"/>
    <mergeCell ref="J337:K341"/>
    <mergeCell ref="H7:J7"/>
    <mergeCell ref="H18:J18"/>
    <mergeCell ref="H73:J73"/>
    <mergeCell ref="H84:J84"/>
    <mergeCell ref="H29:J29"/>
    <mergeCell ref="H40:J40"/>
    <mergeCell ref="H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171"/>
  <sheetViews>
    <sheetView workbookViewId="0" topLeftCell="E28">
      <selection activeCell="K45" sqref="K45"/>
    </sheetView>
  </sheetViews>
  <sheetFormatPr defaultColWidth="9.00390625" defaultRowHeight="12.75"/>
  <cols>
    <col min="2" max="2" width="11.00390625" style="0" customWidth="1"/>
    <col min="4" max="4" width="48.75390625" style="0" customWidth="1"/>
    <col min="5" max="5" width="16.00390625" style="0" customWidth="1"/>
    <col min="6" max="6" width="15.625" style="0" customWidth="1"/>
    <col min="7" max="7" width="10.375" style="0" customWidth="1"/>
    <col min="8" max="8" width="31.25390625" style="0" customWidth="1"/>
    <col min="9" max="9" width="13.75390625" style="0" customWidth="1"/>
    <col min="10" max="10" width="15.00390625" style="0" customWidth="1"/>
    <col min="11" max="11" width="13.625" style="0" customWidth="1"/>
    <col min="15" max="15" width="35.00390625" style="0" bestFit="1" customWidth="1"/>
    <col min="17" max="17" width="11.625" style="0" customWidth="1"/>
    <col min="19" max="19" width="13.625" style="0" bestFit="1" customWidth="1"/>
    <col min="20" max="20" width="24.00390625" style="0" customWidth="1"/>
    <col min="21" max="21" width="27.875" style="0" customWidth="1"/>
  </cols>
  <sheetData>
    <row r="1" spans="3:5" ht="12.75">
      <c r="C1" s="133" t="s">
        <v>634</v>
      </c>
      <c r="D1" s="133"/>
      <c r="E1" s="133"/>
    </row>
    <row r="2" spans="2:6" ht="11.25" customHeight="1">
      <c r="B2" s="147" t="s">
        <v>65</v>
      </c>
      <c r="C2" s="147"/>
      <c r="D2" s="147"/>
      <c r="E2" s="147"/>
      <c r="F2" s="147"/>
    </row>
    <row r="3" spans="2:6" ht="14.25" customHeight="1">
      <c r="B3" s="127" t="s">
        <v>1038</v>
      </c>
      <c r="C3" s="127"/>
      <c r="D3" s="127"/>
      <c r="E3" s="127"/>
      <c r="F3" s="127"/>
    </row>
    <row r="4" spans="2:6" ht="15.75" customHeight="1">
      <c r="B4" s="126" t="s">
        <v>635</v>
      </c>
      <c r="C4" s="126"/>
      <c r="D4" s="126"/>
      <c r="E4" s="126"/>
      <c r="F4" s="6"/>
    </row>
    <row r="5" spans="4:21" ht="12.75">
      <c r="D5" s="53" t="s">
        <v>636</v>
      </c>
      <c r="E5" s="53" t="s">
        <v>637</v>
      </c>
      <c r="Q5" s="146" t="s">
        <v>6</v>
      </c>
      <c r="R5" s="146"/>
      <c r="S5" s="146"/>
      <c r="T5" s="146"/>
      <c r="U5" s="146"/>
    </row>
    <row r="6" spans="4:21" ht="12.75">
      <c r="D6" s="131" t="s">
        <v>64</v>
      </c>
      <c r="E6" s="131"/>
      <c r="Q6" s="146"/>
      <c r="R6" s="146"/>
      <c r="S6" s="146"/>
      <c r="T6" s="146"/>
      <c r="U6" s="146"/>
    </row>
    <row r="7" spans="3:21" ht="12.75">
      <c r="C7">
        <v>1</v>
      </c>
      <c r="D7" s="1" t="s">
        <v>1076</v>
      </c>
      <c r="E7" t="s">
        <v>29</v>
      </c>
      <c r="J7" s="144" t="s">
        <v>1008</v>
      </c>
      <c r="K7" s="144" t="s">
        <v>590</v>
      </c>
      <c r="Q7" s="146" t="s">
        <v>7</v>
      </c>
      <c r="R7" s="146"/>
      <c r="S7" s="146"/>
      <c r="T7" s="146"/>
      <c r="U7" s="146"/>
    </row>
    <row r="8" spans="3:21" ht="12.75">
      <c r="C8">
        <v>2</v>
      </c>
      <c r="D8" s="1" t="s">
        <v>1077</v>
      </c>
      <c r="E8" t="s">
        <v>29</v>
      </c>
      <c r="G8" s="135" t="s">
        <v>1079</v>
      </c>
      <c r="H8" s="135"/>
      <c r="I8" s="135"/>
      <c r="J8" s="145"/>
      <c r="K8" s="145"/>
      <c r="Q8" s="146"/>
      <c r="R8" s="146"/>
      <c r="S8" s="146"/>
      <c r="T8" s="146"/>
      <c r="U8" s="146"/>
    </row>
    <row r="9" spans="3:15" ht="37.5" customHeight="1">
      <c r="C9">
        <v>3</v>
      </c>
      <c r="D9" s="1" t="s">
        <v>1078</v>
      </c>
      <c r="E9" t="s">
        <v>575</v>
      </c>
      <c r="G9" s="35" t="s">
        <v>940</v>
      </c>
      <c r="H9" s="63" t="s">
        <v>5</v>
      </c>
      <c r="I9" s="35" t="s">
        <v>852</v>
      </c>
      <c r="J9" s="50" t="s">
        <v>1007</v>
      </c>
      <c r="K9" s="50" t="s">
        <v>591</v>
      </c>
      <c r="O9" s="40"/>
    </row>
    <row r="10" spans="3:21" ht="12.75">
      <c r="C10">
        <v>4</v>
      </c>
      <c r="D10" s="19" t="s">
        <v>24</v>
      </c>
      <c r="E10" t="s">
        <v>575</v>
      </c>
      <c r="G10" s="1">
        <v>1</v>
      </c>
      <c r="H10" s="60" t="s">
        <v>905</v>
      </c>
      <c r="I10" s="54">
        <v>1.5390393518518517</v>
      </c>
      <c r="J10" s="19">
        <v>1</v>
      </c>
      <c r="K10" s="19">
        <v>0</v>
      </c>
      <c r="M10" s="1"/>
      <c r="N10" s="1"/>
      <c r="O10" s="36"/>
      <c r="P10" s="1"/>
      <c r="Q10" s="1"/>
      <c r="R10" s="1"/>
      <c r="S10" s="2"/>
      <c r="T10" s="2"/>
      <c r="U10" s="1"/>
    </row>
    <row r="11" spans="3:21" ht="12.75">
      <c r="C11">
        <v>5</v>
      </c>
      <c r="D11" s="1" t="s">
        <v>905</v>
      </c>
      <c r="G11" s="1">
        <v>2</v>
      </c>
      <c r="H11" s="1" t="s">
        <v>1078</v>
      </c>
      <c r="I11" s="28">
        <v>1.5556712962962962</v>
      </c>
      <c r="J11" s="19">
        <v>2</v>
      </c>
      <c r="K11" s="19">
        <v>1</v>
      </c>
      <c r="M11" s="1"/>
      <c r="N11" s="1"/>
      <c r="O11" s="1"/>
      <c r="P11" s="4"/>
      <c r="Q11" s="4"/>
      <c r="R11" s="1"/>
      <c r="S11" s="140"/>
      <c r="T11" s="1"/>
      <c r="U11" s="1"/>
    </row>
    <row r="12" spans="3:21" ht="12.75">
      <c r="C12">
        <v>6</v>
      </c>
      <c r="D12" s="1" t="s">
        <v>579</v>
      </c>
      <c r="G12" s="1">
        <v>3</v>
      </c>
      <c r="H12" s="1" t="s">
        <v>1076</v>
      </c>
      <c r="I12" s="28">
        <v>1.557048611111111</v>
      </c>
      <c r="J12" s="19">
        <v>2</v>
      </c>
      <c r="K12" s="19">
        <v>1</v>
      </c>
      <c r="M12" s="1"/>
      <c r="N12" s="1"/>
      <c r="O12" s="1"/>
      <c r="P12" s="4"/>
      <c r="Q12" s="67"/>
      <c r="R12" s="34"/>
      <c r="S12" s="141"/>
      <c r="T12" s="1"/>
      <c r="U12" s="1"/>
    </row>
    <row r="13" spans="3:21" ht="12.75">
      <c r="C13">
        <v>7</v>
      </c>
      <c r="D13" s="1" t="s">
        <v>25</v>
      </c>
      <c r="G13" s="1">
        <v>4</v>
      </c>
      <c r="H13" s="1" t="s">
        <v>579</v>
      </c>
      <c r="I13" s="28">
        <v>1.5667939814814815</v>
      </c>
      <c r="J13" s="19">
        <v>1</v>
      </c>
      <c r="K13" s="19">
        <v>1</v>
      </c>
      <c r="M13" s="1"/>
      <c r="N13" s="1"/>
      <c r="O13" s="1"/>
      <c r="P13" s="4"/>
      <c r="Q13" s="4"/>
      <c r="R13" s="34"/>
      <c r="S13" s="141"/>
      <c r="T13" s="1"/>
      <c r="U13" s="1"/>
    </row>
    <row r="14" spans="3:21" ht="12.75">
      <c r="C14">
        <v>8</v>
      </c>
      <c r="D14" s="1" t="s">
        <v>60</v>
      </c>
      <c r="G14" s="1">
        <v>5</v>
      </c>
      <c r="H14" s="1" t="s">
        <v>51</v>
      </c>
      <c r="I14" s="28">
        <v>1.5799074074074075</v>
      </c>
      <c r="J14" s="19">
        <v>1</v>
      </c>
      <c r="K14" s="19">
        <v>0</v>
      </c>
      <c r="M14" s="1"/>
      <c r="N14" s="1"/>
      <c r="O14" s="1"/>
      <c r="P14" s="4"/>
      <c r="Q14" s="4"/>
      <c r="R14" s="34"/>
      <c r="S14" s="141"/>
      <c r="T14" s="1"/>
      <c r="U14" s="1"/>
    </row>
    <row r="15" spans="3:21" ht="12.75">
      <c r="C15">
        <v>9</v>
      </c>
      <c r="D15" s="1" t="s">
        <v>26</v>
      </c>
      <c r="G15" s="1">
        <v>6</v>
      </c>
      <c r="H15" s="1" t="s">
        <v>61</v>
      </c>
      <c r="I15" s="28">
        <v>1.5806944444444444</v>
      </c>
      <c r="J15" s="19">
        <v>0</v>
      </c>
      <c r="K15" s="19">
        <v>0</v>
      </c>
      <c r="M15" s="1"/>
      <c r="N15" s="1"/>
      <c r="O15" s="1"/>
      <c r="P15" s="4"/>
      <c r="Q15" s="67"/>
      <c r="R15" s="34"/>
      <c r="S15" s="141"/>
      <c r="T15" s="1"/>
      <c r="U15" s="1"/>
    </row>
    <row r="16" spans="3:21" ht="12.75">
      <c r="C16">
        <v>10</v>
      </c>
      <c r="D16" s="1" t="s">
        <v>68</v>
      </c>
      <c r="G16" s="1">
        <v>7</v>
      </c>
      <c r="H16" s="1" t="s">
        <v>57</v>
      </c>
      <c r="I16" s="28">
        <v>1.6751041666666666</v>
      </c>
      <c r="J16" s="19">
        <v>0</v>
      </c>
      <c r="K16" s="19">
        <v>2</v>
      </c>
      <c r="M16" s="1"/>
      <c r="N16" s="1"/>
      <c r="O16" s="1"/>
      <c r="P16" s="4"/>
      <c r="Q16" s="4"/>
      <c r="R16" s="1"/>
      <c r="S16" s="141"/>
      <c r="T16" s="1"/>
      <c r="U16" s="1"/>
    </row>
    <row r="17" spans="3:21" ht="12.75">
      <c r="C17">
        <v>11</v>
      </c>
      <c r="D17" s="1" t="s">
        <v>51</v>
      </c>
      <c r="G17" s="1">
        <v>8</v>
      </c>
      <c r="H17" s="69" t="s">
        <v>10</v>
      </c>
      <c r="I17" s="28">
        <v>1.6801041666666665</v>
      </c>
      <c r="J17" s="19">
        <v>0</v>
      </c>
      <c r="K17" s="19">
        <v>2</v>
      </c>
      <c r="M17" s="1"/>
      <c r="N17" s="1"/>
      <c r="O17" s="1"/>
      <c r="P17" s="4"/>
      <c r="Q17" s="67"/>
      <c r="R17" s="34"/>
      <c r="S17" s="141"/>
      <c r="T17" s="1"/>
      <c r="U17" s="1"/>
    </row>
    <row r="18" spans="3:21" ht="12.75">
      <c r="C18">
        <v>12</v>
      </c>
      <c r="D18" s="1" t="s">
        <v>61</v>
      </c>
      <c r="M18" s="1"/>
      <c r="N18" s="1"/>
      <c r="O18" s="1"/>
      <c r="P18" s="4"/>
      <c r="Q18" s="67"/>
      <c r="R18" s="34"/>
      <c r="S18" s="142"/>
      <c r="T18" s="1"/>
      <c r="U18" s="1"/>
    </row>
    <row r="19" spans="3:19" ht="12.75">
      <c r="C19">
        <v>13</v>
      </c>
      <c r="D19" s="1" t="s">
        <v>69</v>
      </c>
      <c r="G19" s="135" t="s">
        <v>1080</v>
      </c>
      <c r="H19" s="135"/>
      <c r="I19" s="135"/>
      <c r="J19" s="144" t="s">
        <v>1008</v>
      </c>
      <c r="K19" s="144" t="s">
        <v>590</v>
      </c>
      <c r="M19" s="37"/>
      <c r="N19" s="37"/>
      <c r="O19" s="38"/>
      <c r="P19" s="39"/>
      <c r="Q19" s="39"/>
      <c r="R19" s="1"/>
      <c r="S19" s="1"/>
    </row>
    <row r="20" spans="3:21" ht="12.75">
      <c r="C20">
        <v>14</v>
      </c>
      <c r="D20" s="1" t="s">
        <v>56</v>
      </c>
      <c r="G20" s="35" t="s">
        <v>940</v>
      </c>
      <c r="H20" s="63" t="s">
        <v>5</v>
      </c>
      <c r="I20" s="35" t="s">
        <v>852</v>
      </c>
      <c r="J20" s="145"/>
      <c r="K20" s="145"/>
      <c r="M20" s="1"/>
      <c r="N20" s="1"/>
      <c r="O20" s="36"/>
      <c r="P20" s="1"/>
      <c r="Q20" s="1"/>
      <c r="R20" s="1"/>
      <c r="S20" s="2"/>
      <c r="T20" s="2"/>
      <c r="U20" s="1"/>
    </row>
    <row r="21" spans="3:21" ht="12.75">
      <c r="C21">
        <v>15</v>
      </c>
      <c r="D21" s="1" t="s">
        <v>57</v>
      </c>
      <c r="G21" s="1">
        <v>1</v>
      </c>
      <c r="H21" s="60" t="s">
        <v>24</v>
      </c>
      <c r="I21" s="54">
        <v>1.570300925925926</v>
      </c>
      <c r="J21" s="1">
        <v>4</v>
      </c>
      <c r="K21" s="1">
        <v>1</v>
      </c>
      <c r="M21" s="1"/>
      <c r="N21" s="1"/>
      <c r="O21" s="1"/>
      <c r="P21" s="4"/>
      <c r="Q21" s="4"/>
      <c r="R21" s="1"/>
      <c r="S21" s="140"/>
      <c r="T21" s="1"/>
      <c r="U21" s="1"/>
    </row>
    <row r="22" spans="3:21" ht="12.75">
      <c r="C22">
        <v>16</v>
      </c>
      <c r="D22" s="69" t="s">
        <v>10</v>
      </c>
      <c r="G22" s="1">
        <v>2</v>
      </c>
      <c r="H22" s="1" t="s">
        <v>26</v>
      </c>
      <c r="I22" s="28">
        <v>1.5799768518518518</v>
      </c>
      <c r="J22" s="1">
        <v>3</v>
      </c>
      <c r="K22" s="1">
        <v>0</v>
      </c>
      <c r="M22" s="1"/>
      <c r="N22" s="1"/>
      <c r="O22" s="1"/>
      <c r="P22" s="4"/>
      <c r="Q22" s="4"/>
      <c r="R22" s="1"/>
      <c r="S22" s="141"/>
      <c r="T22" s="1"/>
      <c r="U22" s="1"/>
    </row>
    <row r="23" spans="7:21" ht="12.75">
      <c r="G23" s="1">
        <v>3</v>
      </c>
      <c r="H23" s="1" t="s">
        <v>60</v>
      </c>
      <c r="I23" s="28">
        <v>1.584050925925926</v>
      </c>
      <c r="J23" s="1">
        <v>1</v>
      </c>
      <c r="K23" s="1">
        <v>2</v>
      </c>
      <c r="M23" s="1"/>
      <c r="N23" s="1"/>
      <c r="O23" s="1"/>
      <c r="P23" s="4"/>
      <c r="Q23" s="67"/>
      <c r="R23" s="34"/>
      <c r="S23" s="141"/>
      <c r="T23" s="1"/>
      <c r="U23" s="1"/>
    </row>
    <row r="24" spans="7:21" ht="12.75">
      <c r="G24" s="1">
        <v>4</v>
      </c>
      <c r="H24" s="1" t="s">
        <v>25</v>
      </c>
      <c r="I24" s="28">
        <v>1.5861226851851853</v>
      </c>
      <c r="J24" s="1">
        <v>1</v>
      </c>
      <c r="K24" s="1">
        <v>1</v>
      </c>
      <c r="M24" s="1"/>
      <c r="N24" s="1"/>
      <c r="O24" s="1"/>
      <c r="P24" s="4"/>
      <c r="Q24" s="4"/>
      <c r="R24" s="34"/>
      <c r="S24" s="141"/>
      <c r="T24" s="1"/>
      <c r="U24" s="1"/>
    </row>
    <row r="25" spans="7:21" ht="12.75">
      <c r="G25" s="1">
        <v>5</v>
      </c>
      <c r="H25" s="1" t="s">
        <v>69</v>
      </c>
      <c r="I25" s="5">
        <v>1.5923611111111111</v>
      </c>
      <c r="J25" s="1">
        <v>1</v>
      </c>
      <c r="K25" s="1">
        <v>1</v>
      </c>
      <c r="M25" s="1"/>
      <c r="N25" s="1"/>
      <c r="O25" s="1"/>
      <c r="P25" s="4"/>
      <c r="Q25" s="67"/>
      <c r="R25" s="34"/>
      <c r="S25" s="141"/>
      <c r="T25" s="1"/>
      <c r="U25" s="1"/>
    </row>
    <row r="26" spans="7:21" ht="12.75">
      <c r="G26" s="1">
        <v>6</v>
      </c>
      <c r="H26" s="1" t="s">
        <v>68</v>
      </c>
      <c r="I26" s="5">
        <v>1.597372685185185</v>
      </c>
      <c r="J26" s="1">
        <v>2</v>
      </c>
      <c r="K26" s="1">
        <v>3</v>
      </c>
      <c r="M26" s="1"/>
      <c r="N26" s="1"/>
      <c r="O26" s="1"/>
      <c r="P26" s="4"/>
      <c r="Q26" s="67"/>
      <c r="R26" s="34"/>
      <c r="S26" s="141"/>
      <c r="T26" s="1"/>
      <c r="U26" s="1"/>
    </row>
    <row r="27" spans="7:21" ht="12.75">
      <c r="G27" s="1">
        <v>7</v>
      </c>
      <c r="H27" s="1" t="s">
        <v>1077</v>
      </c>
      <c r="I27" s="28">
        <v>1.6216435185185185</v>
      </c>
      <c r="J27" s="1">
        <v>1</v>
      </c>
      <c r="K27" s="1">
        <v>3</v>
      </c>
      <c r="M27" s="1"/>
      <c r="N27" s="1"/>
      <c r="O27" s="1"/>
      <c r="P27" s="4"/>
      <c r="Q27" s="67"/>
      <c r="R27" s="34"/>
      <c r="S27" s="141"/>
      <c r="T27" s="1"/>
      <c r="U27" s="1"/>
    </row>
    <row r="28" spans="7:21" ht="12.75">
      <c r="G28" s="1">
        <v>8</v>
      </c>
      <c r="H28" s="1" t="s">
        <v>56</v>
      </c>
      <c r="I28" s="5">
        <v>1.6258101851851852</v>
      </c>
      <c r="J28" s="1">
        <v>1</v>
      </c>
      <c r="K28" s="1">
        <v>3</v>
      </c>
      <c r="M28" s="1"/>
      <c r="N28" s="1"/>
      <c r="O28" s="1"/>
      <c r="P28" s="4"/>
      <c r="Q28" s="4"/>
      <c r="R28" s="34"/>
      <c r="S28" s="142"/>
      <c r="T28" s="1"/>
      <c r="U28" s="1"/>
    </row>
    <row r="29" spans="13:19" ht="12.75">
      <c r="M29" s="37"/>
      <c r="N29" s="37"/>
      <c r="O29" s="38"/>
      <c r="P29" s="39"/>
      <c r="Q29" s="39"/>
      <c r="R29" s="1"/>
      <c r="S29" s="1"/>
    </row>
    <row r="30" spans="13:21" ht="12.75">
      <c r="M30" s="1"/>
      <c r="N30" s="1"/>
      <c r="O30" s="36"/>
      <c r="P30" s="1"/>
      <c r="Q30" s="1"/>
      <c r="R30" s="1"/>
      <c r="S30" s="2"/>
      <c r="T30" s="2"/>
      <c r="U30" s="1"/>
    </row>
    <row r="31" spans="7:21" ht="12.75">
      <c r="G31" s="35"/>
      <c r="H31" s="63" t="s">
        <v>1086</v>
      </c>
      <c r="I31" s="35"/>
      <c r="M31" s="1"/>
      <c r="N31" s="1"/>
      <c r="O31" s="1"/>
      <c r="P31" s="4"/>
      <c r="Q31" s="67"/>
      <c r="R31" s="34"/>
      <c r="S31" s="140"/>
      <c r="T31" s="1"/>
      <c r="U31" s="1"/>
    </row>
    <row r="32" spans="7:21" ht="12.75">
      <c r="G32" s="1">
        <v>1</v>
      </c>
      <c r="H32" s="60" t="s">
        <v>905</v>
      </c>
      <c r="I32" s="54">
        <v>1.5390393518518517</v>
      </c>
      <c r="M32" s="1"/>
      <c r="N32" s="1"/>
      <c r="O32" s="1"/>
      <c r="P32" s="4"/>
      <c r="Q32" s="4"/>
      <c r="R32" s="1"/>
      <c r="S32" s="141"/>
      <c r="T32" s="1"/>
      <c r="U32" s="1"/>
    </row>
    <row r="33" spans="7:21" ht="12.75">
      <c r="G33" s="1">
        <v>2</v>
      </c>
      <c r="H33" s="84" t="s">
        <v>1078</v>
      </c>
      <c r="I33" s="85">
        <v>1.5556712962962962</v>
      </c>
      <c r="M33" s="1"/>
      <c r="N33" s="1"/>
      <c r="O33" s="1"/>
      <c r="P33" s="4"/>
      <c r="Q33" s="4"/>
      <c r="R33" s="34"/>
      <c r="S33" s="141"/>
      <c r="T33" s="1"/>
      <c r="U33" s="1"/>
    </row>
    <row r="34" spans="7:21" ht="12.75">
      <c r="G34" s="1">
        <v>3</v>
      </c>
      <c r="H34" s="1" t="s">
        <v>1076</v>
      </c>
      <c r="I34" s="28">
        <v>1.557048611111111</v>
      </c>
      <c r="M34" s="1"/>
      <c r="N34" s="1"/>
      <c r="O34" s="1"/>
      <c r="P34" s="4"/>
      <c r="Q34" s="67"/>
      <c r="R34" s="34"/>
      <c r="S34" s="141"/>
      <c r="T34" s="1"/>
      <c r="U34" s="1"/>
    </row>
    <row r="35" spans="7:21" ht="12.75">
      <c r="G35" s="1">
        <v>4</v>
      </c>
      <c r="H35" s="1" t="s">
        <v>579</v>
      </c>
      <c r="I35" s="28">
        <v>1.5667939814814815</v>
      </c>
      <c r="M35" s="1"/>
      <c r="N35" s="1"/>
      <c r="O35" s="1"/>
      <c r="P35" s="4"/>
      <c r="Q35" s="4"/>
      <c r="R35" s="1"/>
      <c r="S35" s="141"/>
      <c r="T35" s="1"/>
      <c r="U35" s="1"/>
    </row>
    <row r="36" spans="7:21" ht="12.75">
      <c r="G36" s="1">
        <v>5</v>
      </c>
      <c r="H36" s="60" t="s">
        <v>24</v>
      </c>
      <c r="I36" s="54">
        <v>1.570300925925926</v>
      </c>
      <c r="M36" s="1"/>
      <c r="N36" s="1"/>
      <c r="O36" s="1"/>
      <c r="P36" s="4"/>
      <c r="Q36" s="4"/>
      <c r="R36" s="1"/>
      <c r="S36" s="141"/>
      <c r="T36" s="1"/>
      <c r="U36" s="1"/>
    </row>
    <row r="37" spans="7:21" ht="12.75">
      <c r="G37" s="1">
        <v>6</v>
      </c>
      <c r="H37" s="1" t="s">
        <v>51</v>
      </c>
      <c r="I37" s="28">
        <v>1.5799074074074075</v>
      </c>
      <c r="M37" s="1"/>
      <c r="N37" s="1"/>
      <c r="O37" s="1"/>
      <c r="P37" s="4"/>
      <c r="Q37" s="67"/>
      <c r="R37" s="34"/>
      <c r="S37" s="141"/>
      <c r="T37" s="1"/>
      <c r="U37" s="1"/>
    </row>
    <row r="38" spans="7:21" ht="12.75">
      <c r="G38" s="1">
        <v>7</v>
      </c>
      <c r="H38" s="1" t="s">
        <v>26</v>
      </c>
      <c r="I38" s="28">
        <v>1.5799768518518518</v>
      </c>
      <c r="M38" s="1"/>
      <c r="N38" s="1"/>
      <c r="O38" s="1"/>
      <c r="P38" s="4"/>
      <c r="Q38" s="67"/>
      <c r="R38" s="34"/>
      <c r="S38" s="142"/>
      <c r="T38" s="1"/>
      <c r="U38" s="1"/>
    </row>
    <row r="39" spans="7:19" ht="12.75">
      <c r="G39" s="1">
        <v>8</v>
      </c>
      <c r="H39" s="1" t="s">
        <v>61</v>
      </c>
      <c r="I39" s="28">
        <v>1.5806944444444444</v>
      </c>
      <c r="M39" s="37"/>
      <c r="N39" s="37"/>
      <c r="O39" s="38"/>
      <c r="P39" s="39"/>
      <c r="Q39" s="39"/>
      <c r="R39" s="1"/>
      <c r="S39" s="1"/>
    </row>
    <row r="40" spans="7:21" ht="12.75">
      <c r="G40" s="1">
        <v>9</v>
      </c>
      <c r="H40" s="1" t="s">
        <v>60</v>
      </c>
      <c r="I40" s="28">
        <v>1.584050925925926</v>
      </c>
      <c r="M40" s="1"/>
      <c r="N40" s="1"/>
      <c r="O40" s="36"/>
      <c r="P40" s="1"/>
      <c r="Q40" s="1"/>
      <c r="R40" s="1"/>
      <c r="S40" s="2"/>
      <c r="T40" s="2"/>
      <c r="U40" s="1"/>
    </row>
    <row r="41" spans="7:21" ht="12.75">
      <c r="G41" s="1">
        <v>10</v>
      </c>
      <c r="H41" s="1" t="s">
        <v>25</v>
      </c>
      <c r="I41" s="28">
        <v>1.5861226851851853</v>
      </c>
      <c r="M41" s="1"/>
      <c r="N41" s="1"/>
      <c r="O41" s="1"/>
      <c r="P41" s="4"/>
      <c r="Q41" s="4"/>
      <c r="R41" s="1"/>
      <c r="S41" s="140"/>
      <c r="T41" s="1"/>
      <c r="U41" s="1"/>
    </row>
    <row r="42" spans="7:21" ht="12.75">
      <c r="G42" s="1">
        <v>11</v>
      </c>
      <c r="H42" s="1" t="s">
        <v>69</v>
      </c>
      <c r="I42" s="5">
        <v>1.5923611111111111</v>
      </c>
      <c r="M42" s="1"/>
      <c r="N42" s="1"/>
      <c r="O42" s="1"/>
      <c r="P42" s="4"/>
      <c r="Q42" s="4"/>
      <c r="R42" s="1"/>
      <c r="S42" s="141"/>
      <c r="T42" s="1"/>
      <c r="U42" s="1"/>
    </row>
    <row r="43" spans="7:21" ht="12.75">
      <c r="G43" s="1">
        <v>12</v>
      </c>
      <c r="H43" s="1" t="s">
        <v>68</v>
      </c>
      <c r="I43" s="5">
        <v>1.597372685185185</v>
      </c>
      <c r="M43" s="1"/>
      <c r="N43" s="1"/>
      <c r="O43" s="1"/>
      <c r="P43" s="4"/>
      <c r="Q43" s="4"/>
      <c r="R43" s="34"/>
      <c r="S43" s="141"/>
      <c r="T43" s="1"/>
      <c r="U43" s="1"/>
    </row>
    <row r="44" spans="7:21" ht="12.75">
      <c r="G44" s="1">
        <v>13</v>
      </c>
      <c r="H44" s="1" t="s">
        <v>1077</v>
      </c>
      <c r="I44" s="28">
        <v>1.6216435185185185</v>
      </c>
      <c r="M44" s="1"/>
      <c r="N44" s="1"/>
      <c r="O44" s="1"/>
      <c r="P44" s="4"/>
      <c r="Q44" s="4"/>
      <c r="R44" s="34"/>
      <c r="S44" s="141"/>
      <c r="T44" s="1"/>
      <c r="U44" s="1"/>
    </row>
    <row r="45" spans="7:21" ht="12.75">
      <c r="G45" s="1">
        <v>14</v>
      </c>
      <c r="H45" s="1" t="s">
        <v>56</v>
      </c>
      <c r="I45" s="5">
        <v>1.6258101851851852</v>
      </c>
      <c r="M45" s="1"/>
      <c r="N45" s="1"/>
      <c r="O45" s="1"/>
      <c r="P45" s="4"/>
      <c r="Q45" s="67"/>
      <c r="R45" s="68"/>
      <c r="S45" s="141"/>
      <c r="T45" s="1"/>
      <c r="U45" s="1"/>
    </row>
    <row r="46" spans="7:21" ht="12.75">
      <c r="G46" s="1">
        <v>15</v>
      </c>
      <c r="H46" s="1" t="s">
        <v>57</v>
      </c>
      <c r="I46" s="28">
        <v>1.6751041666666666</v>
      </c>
      <c r="M46" s="1"/>
      <c r="N46" s="1"/>
      <c r="O46" s="1"/>
      <c r="P46" s="4"/>
      <c r="Q46" s="67"/>
      <c r="R46" s="34"/>
      <c r="S46" s="141"/>
      <c r="T46" s="1"/>
      <c r="U46" s="1"/>
    </row>
    <row r="47" spans="7:21" ht="12.75">
      <c r="G47" s="1">
        <v>16</v>
      </c>
      <c r="H47" s="69" t="s">
        <v>10</v>
      </c>
      <c r="I47" s="28">
        <v>1.6801041666666665</v>
      </c>
      <c r="M47" s="1"/>
      <c r="N47" s="1"/>
      <c r="O47" s="1"/>
      <c r="P47" s="4"/>
      <c r="Q47" s="67"/>
      <c r="R47" s="34"/>
      <c r="S47" s="141"/>
      <c r="T47" s="1"/>
      <c r="U47" s="1"/>
    </row>
    <row r="48" spans="13:21" ht="12.75">
      <c r="M48" s="1"/>
      <c r="N48" s="1"/>
      <c r="O48" s="1"/>
      <c r="P48" s="4"/>
      <c r="Q48" s="67"/>
      <c r="R48" s="34"/>
      <c r="S48" s="142"/>
      <c r="T48" s="1"/>
      <c r="U48" s="1"/>
    </row>
    <row r="49" spans="13:19" ht="12.75">
      <c r="M49" s="37"/>
      <c r="N49" s="37"/>
      <c r="O49" s="38"/>
      <c r="P49" s="39"/>
      <c r="Q49" s="39"/>
      <c r="R49" s="1"/>
      <c r="S49" s="1"/>
    </row>
    <row r="50" spans="13:21" ht="12.75">
      <c r="M50" s="1"/>
      <c r="N50" s="1"/>
      <c r="O50" s="36"/>
      <c r="P50" s="1"/>
      <c r="Q50" s="1"/>
      <c r="R50" s="1"/>
      <c r="S50" s="2"/>
      <c r="T50" s="2"/>
      <c r="U50" s="1"/>
    </row>
    <row r="51" spans="13:21" ht="12.75">
      <c r="M51" s="1"/>
      <c r="N51" s="1"/>
      <c r="O51" s="1"/>
      <c r="P51" s="4"/>
      <c r="Q51" s="4"/>
      <c r="R51" s="1"/>
      <c r="S51" s="140"/>
      <c r="T51" s="1"/>
      <c r="U51" s="1"/>
    </row>
    <row r="52" spans="13:21" ht="12.75">
      <c r="M52" s="1"/>
      <c r="N52" s="1"/>
      <c r="O52" s="1"/>
      <c r="P52" s="4"/>
      <c r="Q52" s="4"/>
      <c r="R52" s="1"/>
      <c r="S52" s="141"/>
      <c r="T52" s="1"/>
      <c r="U52" s="1"/>
    </row>
    <row r="53" spans="13:21" ht="12.75">
      <c r="M53" s="1"/>
      <c r="N53" s="1"/>
      <c r="O53" s="1"/>
      <c r="P53" s="4"/>
      <c r="Q53" s="4"/>
      <c r="R53" s="34"/>
      <c r="S53" s="141"/>
      <c r="T53" s="1"/>
      <c r="U53" s="1"/>
    </row>
    <row r="54" spans="13:21" ht="12.75">
      <c r="M54" s="1"/>
      <c r="N54" s="1"/>
      <c r="O54" s="1"/>
      <c r="P54" s="4"/>
      <c r="Q54" s="67"/>
      <c r="R54" s="34"/>
      <c r="S54" s="141"/>
      <c r="T54" s="1"/>
      <c r="U54" s="1"/>
    </row>
    <row r="55" spans="13:21" ht="12.75">
      <c r="M55" s="1"/>
      <c r="N55" s="1"/>
      <c r="O55" s="1"/>
      <c r="P55" s="4"/>
      <c r="Q55" s="67"/>
      <c r="R55" s="34"/>
      <c r="S55" s="141"/>
      <c r="T55" s="1"/>
      <c r="U55" s="1"/>
    </row>
    <row r="56" spans="13:21" ht="12.75">
      <c r="M56" s="1"/>
      <c r="N56" s="1"/>
      <c r="O56" s="1"/>
      <c r="P56" s="4"/>
      <c r="Q56" s="67"/>
      <c r="R56" s="34"/>
      <c r="S56" s="141"/>
      <c r="T56" s="1"/>
      <c r="U56" s="1"/>
    </row>
    <row r="57" spans="13:21" ht="12.75">
      <c r="M57" s="1"/>
      <c r="N57" s="1"/>
      <c r="O57" s="1"/>
      <c r="P57" s="4"/>
      <c r="Q57" s="67"/>
      <c r="R57" s="34"/>
      <c r="S57" s="141"/>
      <c r="T57" s="1"/>
      <c r="U57" s="1"/>
    </row>
    <row r="58" spans="13:21" ht="12.75">
      <c r="M58" s="1"/>
      <c r="N58" s="1"/>
      <c r="O58" s="1"/>
      <c r="P58" s="4"/>
      <c r="Q58" s="4"/>
      <c r="R58" s="34"/>
      <c r="S58" s="142"/>
      <c r="T58" s="1"/>
      <c r="U58" s="1"/>
    </row>
    <row r="59" spans="13:19" ht="12.75">
      <c r="M59" s="37"/>
      <c r="N59" s="37"/>
      <c r="O59" s="38"/>
      <c r="P59" s="39"/>
      <c r="Q59" s="39"/>
      <c r="R59" s="1"/>
      <c r="S59" s="1"/>
    </row>
    <row r="60" spans="13:21" ht="12.75">
      <c r="M60" s="1"/>
      <c r="N60" s="1"/>
      <c r="O60" s="36"/>
      <c r="P60" s="1"/>
      <c r="Q60" s="1"/>
      <c r="R60" s="1"/>
      <c r="S60" s="2"/>
      <c r="T60" s="2"/>
      <c r="U60" s="1"/>
    </row>
    <row r="61" spans="13:21" ht="12.75">
      <c r="M61" s="1"/>
      <c r="N61" s="1"/>
      <c r="O61" s="1"/>
      <c r="P61" s="4"/>
      <c r="Q61" s="4"/>
      <c r="R61" s="1"/>
      <c r="S61" s="140"/>
      <c r="T61" s="1"/>
      <c r="U61" s="1"/>
    </row>
    <row r="62" spans="13:21" ht="12.75">
      <c r="M62" s="1"/>
      <c r="N62" s="1"/>
      <c r="O62" s="1"/>
      <c r="P62" s="4"/>
      <c r="Q62" s="67"/>
      <c r="R62" s="34"/>
      <c r="S62" s="141"/>
      <c r="T62" s="1"/>
      <c r="U62" s="1"/>
    </row>
    <row r="63" spans="13:21" ht="12.75">
      <c r="M63" s="1"/>
      <c r="N63" s="1"/>
      <c r="O63" s="1"/>
      <c r="P63" s="4"/>
      <c r="Q63" s="4"/>
      <c r="R63" s="34"/>
      <c r="S63" s="141"/>
      <c r="T63" s="1"/>
      <c r="U63" s="1"/>
    </row>
    <row r="64" spans="13:21" ht="12.75">
      <c r="M64" s="1"/>
      <c r="N64" s="1"/>
      <c r="O64" s="1"/>
      <c r="P64" s="4"/>
      <c r="Q64" s="4"/>
      <c r="R64" s="34"/>
      <c r="S64" s="141"/>
      <c r="T64" s="1"/>
      <c r="U64" s="1"/>
    </row>
    <row r="65" spans="13:21" ht="12.75">
      <c r="M65" s="1"/>
      <c r="N65" s="1"/>
      <c r="O65" s="1"/>
      <c r="P65" s="4"/>
      <c r="Q65" s="4"/>
      <c r="R65" s="1"/>
      <c r="S65" s="141"/>
      <c r="T65" s="1"/>
      <c r="U65" s="1"/>
    </row>
    <row r="66" spans="13:21" ht="12.75">
      <c r="M66" s="1"/>
      <c r="N66" s="1"/>
      <c r="O66" s="1"/>
      <c r="P66" s="4"/>
      <c r="Q66" s="67"/>
      <c r="R66" s="34"/>
      <c r="S66" s="141"/>
      <c r="T66" s="1"/>
      <c r="U66" s="1"/>
    </row>
    <row r="67" spans="13:21" ht="12.75">
      <c r="M67" s="1"/>
      <c r="N67" s="1"/>
      <c r="O67" s="1"/>
      <c r="P67" s="4"/>
      <c r="Q67" s="67"/>
      <c r="R67" s="34"/>
      <c r="S67" s="141"/>
      <c r="T67" s="1"/>
      <c r="U67" s="1"/>
    </row>
    <row r="68" spans="13:21" ht="12.75">
      <c r="M68" s="1"/>
      <c r="N68" s="1"/>
      <c r="O68" s="1"/>
      <c r="P68" s="4"/>
      <c r="Q68" s="67"/>
      <c r="R68" s="34"/>
      <c r="S68" s="142"/>
      <c r="T68" s="1"/>
      <c r="U68" s="1"/>
    </row>
    <row r="69" spans="13:19" ht="12.75">
      <c r="M69" s="37"/>
      <c r="N69" s="37"/>
      <c r="O69" s="38"/>
      <c r="P69" s="39"/>
      <c r="Q69" s="39"/>
      <c r="R69" s="1"/>
      <c r="S69" s="1"/>
    </row>
    <row r="70" spans="13:21" ht="12.75">
      <c r="M70" s="1"/>
      <c r="N70" s="1"/>
      <c r="O70" s="36"/>
      <c r="P70" s="1"/>
      <c r="Q70" s="1"/>
      <c r="R70" s="1"/>
      <c r="S70" s="2"/>
      <c r="T70" s="2"/>
      <c r="U70" s="1"/>
    </row>
    <row r="71" spans="13:21" ht="12.75">
      <c r="M71" s="1"/>
      <c r="N71" s="1"/>
      <c r="O71" s="1"/>
      <c r="P71" s="4"/>
      <c r="Q71" s="4"/>
      <c r="R71" s="1"/>
      <c r="S71" s="140"/>
      <c r="T71" s="1"/>
      <c r="U71" s="1"/>
    </row>
    <row r="72" spans="13:21" ht="12.75">
      <c r="M72" s="1"/>
      <c r="N72" s="1"/>
      <c r="O72" s="1"/>
      <c r="P72" s="4"/>
      <c r="Q72" s="4"/>
      <c r="R72" s="1"/>
      <c r="S72" s="141"/>
      <c r="T72" s="1"/>
      <c r="U72" s="1"/>
    </row>
    <row r="73" spans="13:21" ht="12.75">
      <c r="M73" s="1"/>
      <c r="N73" s="1"/>
      <c r="O73" s="1"/>
      <c r="P73" s="4"/>
      <c r="Q73" s="67"/>
      <c r="R73" s="34"/>
      <c r="S73" s="141"/>
      <c r="T73" s="1"/>
      <c r="U73" s="1"/>
    </row>
    <row r="74" spans="13:21" ht="12.75">
      <c r="M74" s="1"/>
      <c r="N74" s="1"/>
      <c r="O74" s="1"/>
      <c r="P74" s="4"/>
      <c r="Q74" s="67"/>
      <c r="R74" s="34"/>
      <c r="S74" s="141"/>
      <c r="T74" s="1"/>
      <c r="U74" s="1"/>
    </row>
    <row r="75" spans="13:21" ht="12.75">
      <c r="M75" s="1"/>
      <c r="N75" s="1"/>
      <c r="O75" s="1"/>
      <c r="P75" s="4"/>
      <c r="Q75" s="4"/>
      <c r="R75" s="1"/>
      <c r="S75" s="141"/>
      <c r="T75" s="1"/>
      <c r="U75" s="1"/>
    </row>
    <row r="76" spans="13:21" ht="12.75">
      <c r="M76" s="1"/>
      <c r="N76" s="1"/>
      <c r="O76" s="1"/>
      <c r="P76" s="4"/>
      <c r="Q76" s="67"/>
      <c r="R76" s="34"/>
      <c r="S76" s="141"/>
      <c r="T76" s="1"/>
      <c r="U76" s="1"/>
    </row>
    <row r="77" spans="13:21" ht="12.75">
      <c r="M77" s="1"/>
      <c r="N77" s="1"/>
      <c r="O77" s="1"/>
      <c r="P77" s="4"/>
      <c r="Q77" s="4"/>
      <c r="R77" s="34"/>
      <c r="S77" s="141"/>
      <c r="T77" s="1"/>
      <c r="U77" s="1"/>
    </row>
    <row r="78" spans="13:21" ht="12.75">
      <c r="M78" s="1"/>
      <c r="N78" s="1"/>
      <c r="O78" s="1"/>
      <c r="P78" s="4"/>
      <c r="Q78" s="67"/>
      <c r="R78" s="34"/>
      <c r="S78" s="142"/>
      <c r="T78" s="1"/>
      <c r="U78" s="1"/>
    </row>
    <row r="79" spans="13:19" ht="12.75">
      <c r="M79" s="37"/>
      <c r="N79" s="37"/>
      <c r="O79" s="38"/>
      <c r="P79" s="39"/>
      <c r="Q79" s="39"/>
      <c r="R79" s="1"/>
      <c r="S79" s="1"/>
    </row>
    <row r="80" spans="13:21" ht="12.75">
      <c r="M80" s="1"/>
      <c r="N80" s="1"/>
      <c r="O80" s="36"/>
      <c r="P80" s="1"/>
      <c r="Q80" s="1"/>
      <c r="R80" s="1"/>
      <c r="S80" s="2"/>
      <c r="T80" s="2"/>
      <c r="U80" s="1"/>
    </row>
    <row r="81" spans="13:21" ht="12.75">
      <c r="M81" s="1"/>
      <c r="N81" s="1"/>
      <c r="O81" s="1"/>
      <c r="P81" s="4"/>
      <c r="Q81" s="4"/>
      <c r="R81" s="1"/>
      <c r="S81" s="140"/>
      <c r="T81" s="1"/>
      <c r="U81" s="1"/>
    </row>
    <row r="82" spans="13:21" ht="12.75">
      <c r="M82" s="1"/>
      <c r="N82" s="1"/>
      <c r="O82" s="1"/>
      <c r="P82" s="4"/>
      <c r="Q82" s="4"/>
      <c r="R82" s="1"/>
      <c r="S82" s="141"/>
      <c r="T82" s="1"/>
      <c r="U82" s="1"/>
    </row>
    <row r="83" spans="13:21" ht="12.75">
      <c r="M83" s="1"/>
      <c r="N83" s="1"/>
      <c r="O83" s="1"/>
      <c r="P83" s="4"/>
      <c r="Q83" s="67"/>
      <c r="R83" s="34"/>
      <c r="S83" s="141"/>
      <c r="T83" s="1"/>
      <c r="U83" s="1"/>
    </row>
    <row r="84" spans="13:21" ht="12.75">
      <c r="M84" s="1"/>
      <c r="N84" s="1"/>
      <c r="O84" s="1"/>
      <c r="P84" s="4"/>
      <c r="Q84" s="4"/>
      <c r="R84" s="34"/>
      <c r="S84" s="141"/>
      <c r="T84" s="1"/>
      <c r="U84" s="1"/>
    </row>
    <row r="85" spans="13:21" ht="12.75">
      <c r="M85" s="1"/>
      <c r="N85" s="1"/>
      <c r="O85" s="1"/>
      <c r="P85" s="4"/>
      <c r="Q85" s="4"/>
      <c r="R85" s="1"/>
      <c r="S85" s="141"/>
      <c r="T85" s="1"/>
      <c r="U85" s="1"/>
    </row>
    <row r="86" spans="13:21" ht="12.75">
      <c r="M86" s="1"/>
      <c r="N86" s="1"/>
      <c r="O86" s="1"/>
      <c r="P86" s="4"/>
      <c r="Q86" s="67"/>
      <c r="R86" s="34"/>
      <c r="S86" s="141"/>
      <c r="T86" s="1"/>
      <c r="U86" s="1"/>
    </row>
    <row r="87" spans="13:21" ht="12.75">
      <c r="M87" s="1"/>
      <c r="N87" s="1"/>
      <c r="O87" s="1"/>
      <c r="P87" s="4"/>
      <c r="Q87" s="67"/>
      <c r="R87" s="34"/>
      <c r="S87" s="141"/>
      <c r="T87" s="1"/>
      <c r="U87" s="1"/>
    </row>
    <row r="88" spans="13:21" ht="12.75">
      <c r="M88" s="1"/>
      <c r="N88" s="1"/>
      <c r="O88" s="1"/>
      <c r="P88" s="4"/>
      <c r="Q88" s="67"/>
      <c r="R88" s="34"/>
      <c r="S88" s="142"/>
      <c r="T88" s="1"/>
      <c r="U88" s="1"/>
    </row>
    <row r="89" spans="13:19" ht="12.75">
      <c r="M89" s="37"/>
      <c r="N89" s="37"/>
      <c r="O89" s="38"/>
      <c r="P89" s="55"/>
      <c r="Q89" s="55"/>
      <c r="R89" s="1"/>
      <c r="S89" s="1"/>
    </row>
    <row r="91" ht="12.75">
      <c r="O91" s="40"/>
    </row>
    <row r="92" spans="13:21" ht="12.75">
      <c r="M92" s="1"/>
      <c r="N92" s="1"/>
      <c r="O92" s="36"/>
      <c r="P92" s="1"/>
      <c r="Q92" s="1"/>
      <c r="R92" s="1"/>
      <c r="S92" s="2"/>
      <c r="T92" s="2"/>
      <c r="U92" s="1"/>
    </row>
    <row r="93" spans="13:21" ht="12.75">
      <c r="M93" s="1"/>
      <c r="N93" s="1"/>
      <c r="O93" s="1"/>
      <c r="P93" s="4"/>
      <c r="Q93" s="4"/>
      <c r="R93" s="1"/>
      <c r="S93" s="140"/>
      <c r="T93" s="1"/>
      <c r="U93" s="1"/>
    </row>
    <row r="94" spans="13:21" ht="12.75">
      <c r="M94" s="1"/>
      <c r="N94" s="1"/>
      <c r="O94" s="1"/>
      <c r="P94" s="4"/>
      <c r="Q94" s="4"/>
      <c r="R94" s="1"/>
      <c r="S94" s="141"/>
      <c r="T94" s="1"/>
      <c r="U94" s="1"/>
    </row>
    <row r="95" spans="13:21" ht="12.75">
      <c r="M95" s="1"/>
      <c r="N95" s="1"/>
      <c r="O95" s="1"/>
      <c r="P95" s="4"/>
      <c r="Q95" s="4"/>
      <c r="R95" s="34"/>
      <c r="S95" s="141"/>
      <c r="T95" s="1"/>
      <c r="U95" s="1"/>
    </row>
    <row r="96" spans="13:21" ht="12.75">
      <c r="M96" s="1"/>
      <c r="N96" s="1"/>
      <c r="O96" s="1"/>
      <c r="P96" s="4"/>
      <c r="Q96" s="67"/>
      <c r="R96" s="34"/>
      <c r="S96" s="141"/>
      <c r="T96" s="1"/>
      <c r="U96" s="1"/>
    </row>
    <row r="97" spans="13:21" ht="12.75">
      <c r="M97" s="1"/>
      <c r="N97" s="1"/>
      <c r="O97" s="1"/>
      <c r="P97" s="4"/>
      <c r="Q97" s="67"/>
      <c r="R97" s="34"/>
      <c r="S97" s="141"/>
      <c r="T97" s="1"/>
      <c r="U97" s="1"/>
    </row>
    <row r="98" spans="13:21" ht="12.75">
      <c r="M98" s="1"/>
      <c r="N98" s="1"/>
      <c r="O98" s="1"/>
      <c r="P98" s="4"/>
      <c r="Q98" s="67"/>
      <c r="R98" s="34"/>
      <c r="S98" s="141"/>
      <c r="T98" s="1"/>
      <c r="U98" s="1"/>
    </row>
    <row r="99" spans="13:21" ht="12.75">
      <c r="M99" s="1"/>
      <c r="N99" s="1"/>
      <c r="O99" s="1"/>
      <c r="P99" s="4"/>
      <c r="Q99" s="67"/>
      <c r="R99" s="34"/>
      <c r="S99" s="141"/>
      <c r="T99" s="1"/>
      <c r="U99" s="1"/>
    </row>
    <row r="100" spans="13:21" ht="12.75">
      <c r="M100" s="1"/>
      <c r="N100" s="1"/>
      <c r="O100" s="1"/>
      <c r="P100" s="4"/>
      <c r="Q100" s="4"/>
      <c r="R100" s="34"/>
      <c r="S100" s="142"/>
      <c r="T100" s="1"/>
      <c r="U100" s="1"/>
    </row>
    <row r="101" spans="13:19" ht="12.75">
      <c r="M101" s="37"/>
      <c r="N101" s="37"/>
      <c r="O101" s="38"/>
      <c r="P101" s="39"/>
      <c r="Q101" s="39"/>
      <c r="R101" s="1"/>
      <c r="S101" s="1"/>
    </row>
    <row r="102" spans="13:21" ht="12.75">
      <c r="M102" s="1"/>
      <c r="N102" s="1"/>
      <c r="O102" s="36"/>
      <c r="P102" s="1"/>
      <c r="Q102" s="1"/>
      <c r="R102" s="1"/>
      <c r="S102" s="2"/>
      <c r="T102" s="2"/>
      <c r="U102" s="1"/>
    </row>
    <row r="103" spans="13:21" ht="12.75">
      <c r="M103" s="1"/>
      <c r="N103" s="1"/>
      <c r="O103" s="1"/>
      <c r="P103" s="4"/>
      <c r="Q103" s="4"/>
      <c r="R103" s="1"/>
      <c r="S103" s="140"/>
      <c r="T103" s="1"/>
      <c r="U103" s="1"/>
    </row>
    <row r="104" spans="13:21" ht="12.75">
      <c r="M104" s="1"/>
      <c r="N104" s="1"/>
      <c r="O104" s="1"/>
      <c r="P104" s="4"/>
      <c r="Q104" s="67"/>
      <c r="R104" s="34"/>
      <c r="S104" s="141"/>
      <c r="T104" s="1"/>
      <c r="U104" s="1"/>
    </row>
    <row r="105" spans="13:21" ht="12.75">
      <c r="M105" s="1"/>
      <c r="N105" s="1"/>
      <c r="O105" s="1"/>
      <c r="P105" s="4"/>
      <c r="Q105" s="67"/>
      <c r="R105" s="34"/>
      <c r="S105" s="141"/>
      <c r="T105" s="1"/>
      <c r="U105" s="1"/>
    </row>
    <row r="106" spans="13:21" ht="12.75">
      <c r="M106" s="1"/>
      <c r="N106" s="1"/>
      <c r="O106" s="1"/>
      <c r="P106" s="4"/>
      <c r="Q106" s="67"/>
      <c r="R106" s="34"/>
      <c r="S106" s="141"/>
      <c r="T106" s="1"/>
      <c r="U106" s="1"/>
    </row>
    <row r="107" spans="13:21" ht="12.75">
      <c r="M107" s="1"/>
      <c r="N107" s="1"/>
      <c r="O107" s="1"/>
      <c r="P107" s="4"/>
      <c r="Q107" s="4"/>
      <c r="R107" s="1"/>
      <c r="S107" s="141"/>
      <c r="T107" s="1"/>
      <c r="U107" s="1"/>
    </row>
    <row r="108" spans="13:21" ht="12.75">
      <c r="M108" s="1"/>
      <c r="N108" s="1"/>
      <c r="O108" s="1"/>
      <c r="P108" s="4"/>
      <c r="Q108" s="4"/>
      <c r="R108" s="1"/>
      <c r="S108" s="141"/>
      <c r="T108" s="1"/>
      <c r="U108" s="1"/>
    </row>
    <row r="109" spans="13:21" ht="12.75">
      <c r="M109" s="1"/>
      <c r="N109" s="1"/>
      <c r="O109" s="1"/>
      <c r="P109" s="4"/>
      <c r="Q109" s="67"/>
      <c r="R109" s="34"/>
      <c r="S109" s="141"/>
      <c r="T109" s="1"/>
      <c r="U109" s="1"/>
    </row>
    <row r="110" spans="13:21" ht="12.75">
      <c r="M110" s="1"/>
      <c r="N110" s="1"/>
      <c r="O110" s="1"/>
      <c r="P110" s="4"/>
      <c r="Q110" s="4"/>
      <c r="R110" s="34"/>
      <c r="S110" s="142"/>
      <c r="T110" s="1"/>
      <c r="U110" s="1"/>
    </row>
    <row r="111" spans="13:19" ht="12.75">
      <c r="M111" s="37"/>
      <c r="N111" s="37"/>
      <c r="O111" s="38"/>
      <c r="P111" s="39"/>
      <c r="Q111" s="39"/>
      <c r="R111" s="1"/>
      <c r="S111" s="1"/>
    </row>
    <row r="112" spans="13:21" ht="12.75">
      <c r="M112" s="1"/>
      <c r="N112" s="1"/>
      <c r="O112" s="36"/>
      <c r="P112" s="1"/>
      <c r="Q112" s="1"/>
      <c r="R112" s="1"/>
      <c r="S112" s="2"/>
      <c r="T112" s="2"/>
      <c r="U112" s="1"/>
    </row>
    <row r="113" spans="13:21" ht="12.75">
      <c r="M113" s="1"/>
      <c r="N113" s="1"/>
      <c r="O113" s="1"/>
      <c r="P113" s="4"/>
      <c r="Q113" s="67"/>
      <c r="R113" s="34"/>
      <c r="S113" s="140"/>
      <c r="T113" s="1"/>
      <c r="U113" s="1"/>
    </row>
    <row r="114" spans="13:21" ht="12.75">
      <c r="M114" s="1"/>
      <c r="N114" s="1"/>
      <c r="O114" s="1"/>
      <c r="P114" s="4"/>
      <c r="Q114" s="4"/>
      <c r="R114" s="1"/>
      <c r="S114" s="141"/>
      <c r="T114" s="1"/>
      <c r="U114" s="1"/>
    </row>
    <row r="115" spans="13:21" ht="12.75">
      <c r="M115" s="1"/>
      <c r="N115" s="1"/>
      <c r="O115" s="1"/>
      <c r="P115" s="4"/>
      <c r="Q115" s="4"/>
      <c r="R115" s="34"/>
      <c r="S115" s="141"/>
      <c r="T115" s="1"/>
      <c r="U115" s="1"/>
    </row>
    <row r="116" spans="13:21" ht="12.75">
      <c r="M116" s="1"/>
      <c r="N116" s="1"/>
      <c r="O116" s="1"/>
      <c r="P116" s="4"/>
      <c r="Q116" s="67"/>
      <c r="R116" s="34"/>
      <c r="S116" s="141"/>
      <c r="T116" s="1"/>
      <c r="U116" s="1"/>
    </row>
    <row r="117" spans="13:21" ht="12.75">
      <c r="M117" s="1"/>
      <c r="N117" s="1"/>
      <c r="O117" s="1"/>
      <c r="P117" s="4"/>
      <c r="Q117" s="4"/>
      <c r="R117" s="1"/>
      <c r="S117" s="141"/>
      <c r="T117" s="1"/>
      <c r="U117" s="1"/>
    </row>
    <row r="118" spans="13:21" ht="12.75">
      <c r="M118" s="1"/>
      <c r="N118" s="1"/>
      <c r="O118" s="1"/>
      <c r="P118" s="4"/>
      <c r="Q118" s="67"/>
      <c r="R118" s="34"/>
      <c r="S118" s="141"/>
      <c r="T118" s="1"/>
      <c r="U118" s="1"/>
    </row>
    <row r="119" spans="13:21" ht="12.75">
      <c r="M119" s="1"/>
      <c r="N119" s="1"/>
      <c r="O119" s="1"/>
      <c r="P119" s="4"/>
      <c r="Q119" s="67"/>
      <c r="R119" s="34"/>
      <c r="S119" s="141"/>
      <c r="T119" s="1"/>
      <c r="U119" s="1"/>
    </row>
    <row r="120" spans="13:21" ht="12.75">
      <c r="M120" s="1"/>
      <c r="N120" s="1"/>
      <c r="O120" s="1"/>
      <c r="P120" s="4"/>
      <c r="Q120" s="4"/>
      <c r="R120" s="34"/>
      <c r="S120" s="142"/>
      <c r="T120" s="1"/>
      <c r="U120" s="1"/>
    </row>
    <row r="121" spans="13:19" ht="12.75">
      <c r="M121" s="37"/>
      <c r="N121" s="37"/>
      <c r="O121" s="38"/>
      <c r="P121" s="39"/>
      <c r="Q121" s="39"/>
      <c r="R121" s="1"/>
      <c r="S121" s="1"/>
    </row>
    <row r="122" spans="13:21" ht="12.75">
      <c r="M122" s="1"/>
      <c r="N122" s="1"/>
      <c r="O122" s="36"/>
      <c r="P122" s="1"/>
      <c r="Q122" s="1"/>
      <c r="R122" s="1"/>
      <c r="S122" s="2"/>
      <c r="T122" s="2"/>
      <c r="U122" s="1"/>
    </row>
    <row r="123" spans="13:21" ht="12.75">
      <c r="M123" s="1"/>
      <c r="N123" s="1"/>
      <c r="O123" s="1"/>
      <c r="P123" s="4"/>
      <c r="Q123" s="4"/>
      <c r="R123" s="1"/>
      <c r="S123" s="140"/>
      <c r="T123" s="1"/>
      <c r="U123" s="1"/>
    </row>
    <row r="124" spans="13:21" ht="12.75">
      <c r="M124" s="1"/>
      <c r="N124" s="1"/>
      <c r="O124" s="1"/>
      <c r="P124" s="4"/>
      <c r="Q124" s="4"/>
      <c r="R124" s="1"/>
      <c r="S124" s="141"/>
      <c r="T124" s="1"/>
      <c r="U124" s="1"/>
    </row>
    <row r="125" spans="13:21" ht="12.75">
      <c r="M125" s="1"/>
      <c r="N125" s="1"/>
      <c r="O125" s="1"/>
      <c r="P125" s="4"/>
      <c r="Q125" s="4"/>
      <c r="R125" s="34"/>
      <c r="S125" s="141"/>
      <c r="T125" s="1"/>
      <c r="U125" s="1"/>
    </row>
    <row r="126" spans="13:21" ht="12.75">
      <c r="M126" s="1"/>
      <c r="N126" s="1"/>
      <c r="O126" s="1"/>
      <c r="P126" s="4"/>
      <c r="Q126" s="67"/>
      <c r="R126" s="34"/>
      <c r="S126" s="141"/>
      <c r="T126" s="1"/>
      <c r="U126" s="1"/>
    </row>
    <row r="127" spans="13:21" ht="12.75">
      <c r="M127" s="1"/>
      <c r="N127" s="1"/>
      <c r="O127" s="1"/>
      <c r="P127" s="4"/>
      <c r="Q127" s="4"/>
      <c r="R127" s="1"/>
      <c r="S127" s="141"/>
      <c r="T127" s="1"/>
      <c r="U127" s="1"/>
    </row>
    <row r="128" spans="13:21" ht="12.75">
      <c r="M128" s="1"/>
      <c r="N128" s="1"/>
      <c r="O128" s="1"/>
      <c r="P128" s="4"/>
      <c r="Q128" s="67"/>
      <c r="R128" s="34"/>
      <c r="S128" s="141"/>
      <c r="T128" s="1"/>
      <c r="U128" s="1"/>
    </row>
    <row r="129" spans="13:21" ht="12.75">
      <c r="M129" s="1"/>
      <c r="N129" s="1"/>
      <c r="O129" s="1"/>
      <c r="P129" s="4"/>
      <c r="Q129" s="67"/>
      <c r="R129" s="34"/>
      <c r="S129" s="141"/>
      <c r="T129" s="1"/>
      <c r="U129" s="1"/>
    </row>
    <row r="130" spans="13:21" ht="12.75">
      <c r="M130" s="1"/>
      <c r="N130" s="1"/>
      <c r="O130" s="1"/>
      <c r="P130" s="4"/>
      <c r="Q130" s="67"/>
      <c r="R130" s="34"/>
      <c r="S130" s="142"/>
      <c r="T130" s="1"/>
      <c r="U130" s="1"/>
    </row>
    <row r="131" spans="13:19" ht="12.75">
      <c r="M131" s="37"/>
      <c r="N131" s="37"/>
      <c r="O131" s="38"/>
      <c r="P131" s="39"/>
      <c r="Q131" s="39"/>
      <c r="R131" s="1"/>
      <c r="S131" s="1"/>
    </row>
    <row r="132" spans="13:21" ht="12.75">
      <c r="M132" s="1"/>
      <c r="N132" s="1"/>
      <c r="O132" s="36"/>
      <c r="P132" s="1"/>
      <c r="Q132" s="1"/>
      <c r="R132" s="1"/>
      <c r="S132" s="2"/>
      <c r="T132" s="2"/>
      <c r="U132" s="1"/>
    </row>
    <row r="133" spans="13:21" ht="12.75">
      <c r="M133" s="1"/>
      <c r="N133" s="1"/>
      <c r="O133" s="1"/>
      <c r="P133" s="4"/>
      <c r="Q133" s="67"/>
      <c r="R133" s="34"/>
      <c r="S133" s="140"/>
      <c r="T133" s="1"/>
      <c r="U133" s="1"/>
    </row>
    <row r="134" spans="13:21" ht="12.75">
      <c r="M134" s="1"/>
      <c r="N134" s="1"/>
      <c r="O134" s="1"/>
      <c r="P134" s="4"/>
      <c r="Q134" s="4"/>
      <c r="R134" s="1"/>
      <c r="S134" s="141"/>
      <c r="T134" s="1"/>
      <c r="U134" s="1"/>
    </row>
    <row r="135" spans="13:21" ht="12.75">
      <c r="M135" s="1"/>
      <c r="N135" s="1"/>
      <c r="O135" s="1"/>
      <c r="P135" s="4"/>
      <c r="Q135" s="4"/>
      <c r="R135" s="34"/>
      <c r="S135" s="141"/>
      <c r="T135" s="1"/>
      <c r="U135" s="1"/>
    </row>
    <row r="136" spans="13:21" ht="12.75">
      <c r="M136" s="1"/>
      <c r="N136" s="1"/>
      <c r="O136" s="1"/>
      <c r="P136" s="4"/>
      <c r="Q136" s="67"/>
      <c r="R136" s="34"/>
      <c r="S136" s="141"/>
      <c r="T136" s="1"/>
      <c r="U136" s="1"/>
    </row>
    <row r="137" spans="13:21" ht="12.75">
      <c r="M137" s="1"/>
      <c r="N137" s="1"/>
      <c r="O137" s="1"/>
      <c r="P137" s="4"/>
      <c r="Q137" s="4"/>
      <c r="R137" s="1"/>
      <c r="S137" s="141"/>
      <c r="T137" s="1"/>
      <c r="U137" s="1"/>
    </row>
    <row r="138" spans="13:21" ht="12.75">
      <c r="M138" s="1"/>
      <c r="N138" s="1"/>
      <c r="O138" s="1"/>
      <c r="P138" s="4"/>
      <c r="Q138" s="4"/>
      <c r="R138" s="1"/>
      <c r="S138" s="141"/>
      <c r="T138" s="1"/>
      <c r="U138" s="1"/>
    </row>
    <row r="139" spans="13:21" ht="12.75">
      <c r="M139" s="1"/>
      <c r="N139" s="1"/>
      <c r="O139" s="1"/>
      <c r="P139" s="4"/>
      <c r="Q139" s="67"/>
      <c r="R139" s="34"/>
      <c r="S139" s="141"/>
      <c r="T139" s="1"/>
      <c r="U139" s="1"/>
    </row>
    <row r="140" spans="13:21" ht="12.75">
      <c r="M140" s="1"/>
      <c r="N140" s="1"/>
      <c r="O140" s="1"/>
      <c r="P140" s="4"/>
      <c r="Q140" s="67"/>
      <c r="R140" s="34"/>
      <c r="S140" s="142"/>
      <c r="T140" s="1"/>
      <c r="U140" s="1"/>
    </row>
    <row r="141" spans="13:19" ht="12.75">
      <c r="M141" s="37"/>
      <c r="N141" s="37"/>
      <c r="O141" s="38"/>
      <c r="P141" s="39"/>
      <c r="Q141" s="39"/>
      <c r="R141" s="1"/>
      <c r="S141" s="1"/>
    </row>
    <row r="142" spans="13:21" ht="12.75">
      <c r="M142" s="1"/>
      <c r="N142" s="1"/>
      <c r="O142" s="36"/>
      <c r="P142" s="1"/>
      <c r="Q142" s="1"/>
      <c r="R142" s="1"/>
      <c r="S142" s="2"/>
      <c r="T142" s="2"/>
      <c r="U142" s="1"/>
    </row>
    <row r="143" spans="13:21" ht="12.75">
      <c r="M143" s="1"/>
      <c r="N143" s="1"/>
      <c r="O143" s="1"/>
      <c r="P143" s="4"/>
      <c r="Q143" s="67"/>
      <c r="R143" s="34"/>
      <c r="S143" s="140"/>
      <c r="T143" s="1"/>
      <c r="U143" s="1"/>
    </row>
    <row r="144" spans="13:21" ht="12.75">
      <c r="M144" s="1"/>
      <c r="N144" s="1"/>
      <c r="O144" s="1"/>
      <c r="P144" s="4"/>
      <c r="Q144" s="67"/>
      <c r="R144" s="34"/>
      <c r="S144" s="141"/>
      <c r="T144" s="1"/>
      <c r="U144" s="1"/>
    </row>
    <row r="145" spans="13:21" ht="12.75">
      <c r="M145" s="1"/>
      <c r="N145" s="1"/>
      <c r="O145" s="1"/>
      <c r="P145" s="4"/>
      <c r="Q145" s="4"/>
      <c r="R145" s="34"/>
      <c r="S145" s="141"/>
      <c r="T145" s="1"/>
      <c r="U145" s="1"/>
    </row>
    <row r="146" spans="13:21" ht="12.75">
      <c r="M146" s="1"/>
      <c r="N146" s="1"/>
      <c r="O146" s="1"/>
      <c r="P146" s="4"/>
      <c r="Q146" s="67"/>
      <c r="R146" s="34"/>
      <c r="S146" s="141"/>
      <c r="T146" s="1"/>
      <c r="U146" s="1"/>
    </row>
    <row r="147" spans="13:21" ht="12.75">
      <c r="M147" s="1"/>
      <c r="N147" s="1"/>
      <c r="O147" s="1"/>
      <c r="P147" s="4"/>
      <c r="Q147" s="67"/>
      <c r="R147" s="34"/>
      <c r="S147" s="141"/>
      <c r="T147" s="1"/>
      <c r="U147" s="1"/>
    </row>
    <row r="148" spans="13:21" ht="12.75">
      <c r="M148" s="1"/>
      <c r="N148" s="1"/>
      <c r="O148" s="1"/>
      <c r="P148" s="4"/>
      <c r="Q148" s="4"/>
      <c r="R148" s="1"/>
      <c r="S148" s="141"/>
      <c r="T148" s="1"/>
      <c r="U148" s="1"/>
    </row>
    <row r="149" spans="13:21" ht="12.75">
      <c r="M149" s="1"/>
      <c r="N149" s="1"/>
      <c r="O149" s="1"/>
      <c r="P149" s="4"/>
      <c r="Q149" s="4"/>
      <c r="R149" s="34"/>
      <c r="S149" s="141"/>
      <c r="T149" s="1"/>
      <c r="U149" s="1"/>
    </row>
    <row r="150" spans="13:21" ht="12.75">
      <c r="M150" s="1"/>
      <c r="N150" s="1"/>
      <c r="O150" s="1"/>
      <c r="P150" s="4"/>
      <c r="Q150" s="4"/>
      <c r="R150" s="34"/>
      <c r="S150" s="142"/>
      <c r="T150" s="1"/>
      <c r="U150" s="1"/>
    </row>
    <row r="151" spans="13:19" ht="12.75">
      <c r="M151" s="37"/>
      <c r="N151" s="37"/>
      <c r="O151" s="38"/>
      <c r="P151" s="39"/>
      <c r="Q151" s="39"/>
      <c r="R151" s="1"/>
      <c r="S151" s="1"/>
    </row>
    <row r="152" spans="13:21" ht="12.75">
      <c r="M152" s="1"/>
      <c r="N152" s="1"/>
      <c r="O152" s="36"/>
      <c r="P152" s="1"/>
      <c r="Q152" s="1"/>
      <c r="R152" s="1"/>
      <c r="S152" s="2"/>
      <c r="T152" s="2"/>
      <c r="U152" s="1"/>
    </row>
    <row r="153" spans="13:21" ht="12.75">
      <c r="M153" s="1"/>
      <c r="N153" s="1"/>
      <c r="O153" s="1"/>
      <c r="P153" s="4"/>
      <c r="Q153" s="4"/>
      <c r="R153" s="1"/>
      <c r="S153" s="140"/>
      <c r="T153" s="1"/>
      <c r="U153" s="1"/>
    </row>
    <row r="154" spans="13:21" ht="12.75">
      <c r="M154" s="1"/>
      <c r="N154" s="1"/>
      <c r="O154" s="1"/>
      <c r="P154" s="4"/>
      <c r="Q154" s="67"/>
      <c r="R154" s="34"/>
      <c r="S154" s="141"/>
      <c r="T154" s="1"/>
      <c r="U154" s="1"/>
    </row>
    <row r="155" spans="13:21" ht="12.75">
      <c r="M155" s="1"/>
      <c r="N155" s="1"/>
      <c r="O155" s="1"/>
      <c r="P155" s="4"/>
      <c r="Q155" s="4"/>
      <c r="R155" s="34"/>
      <c r="S155" s="141"/>
      <c r="T155" s="1"/>
      <c r="U155" s="1"/>
    </row>
    <row r="156" spans="13:21" ht="12.75">
      <c r="M156" s="1"/>
      <c r="N156" s="1"/>
      <c r="O156" s="1"/>
      <c r="P156" s="4"/>
      <c r="Q156" s="67"/>
      <c r="R156" s="34"/>
      <c r="S156" s="141"/>
      <c r="T156" s="1"/>
      <c r="U156" s="1"/>
    </row>
    <row r="157" spans="13:21" ht="12.75">
      <c r="M157" s="1"/>
      <c r="N157" s="1"/>
      <c r="O157" s="1"/>
      <c r="P157" s="4"/>
      <c r="Q157" s="67"/>
      <c r="R157" s="34"/>
      <c r="S157" s="141"/>
      <c r="T157" s="1"/>
      <c r="U157" s="1"/>
    </row>
    <row r="158" spans="13:21" ht="12.75">
      <c r="M158" s="1"/>
      <c r="N158" s="1"/>
      <c r="O158" s="1"/>
      <c r="P158" s="4"/>
      <c r="Q158" s="4"/>
      <c r="R158" s="1"/>
      <c r="S158" s="141"/>
      <c r="T158" s="1"/>
      <c r="U158" s="1"/>
    </row>
    <row r="159" spans="13:21" ht="12.75">
      <c r="M159" s="1"/>
      <c r="N159" s="1"/>
      <c r="O159" s="1"/>
      <c r="P159" s="4"/>
      <c r="Q159" s="67"/>
      <c r="R159" s="34"/>
      <c r="S159" s="141"/>
      <c r="T159" s="1"/>
      <c r="U159" s="1"/>
    </row>
    <row r="160" spans="13:21" ht="12.75">
      <c r="M160" s="1"/>
      <c r="N160" s="1"/>
      <c r="O160" s="1"/>
      <c r="P160" s="4"/>
      <c r="Q160" s="4"/>
      <c r="R160" s="34"/>
      <c r="S160" s="142"/>
      <c r="T160" s="1"/>
      <c r="U160" s="1"/>
    </row>
    <row r="161" spans="13:19" ht="12.75">
      <c r="M161" s="37"/>
      <c r="N161" s="37"/>
      <c r="O161" s="38"/>
      <c r="P161" s="39"/>
      <c r="Q161" s="39"/>
      <c r="R161" s="1"/>
      <c r="S161" s="1"/>
    </row>
    <row r="162" spans="13:21" ht="12.75">
      <c r="M162" s="1"/>
      <c r="N162" s="1"/>
      <c r="O162" s="36"/>
      <c r="P162" s="1"/>
      <c r="Q162" s="1"/>
      <c r="R162" s="1"/>
      <c r="S162" s="2"/>
      <c r="T162" s="2"/>
      <c r="U162" s="1"/>
    </row>
    <row r="163" spans="13:21" ht="12.75">
      <c r="M163" s="1"/>
      <c r="N163" s="1"/>
      <c r="O163" s="1"/>
      <c r="P163" s="4"/>
      <c r="Q163" s="67"/>
      <c r="R163" s="34"/>
      <c r="S163" s="140"/>
      <c r="T163" s="1"/>
      <c r="U163" s="1"/>
    </row>
    <row r="164" spans="13:21" ht="12.75">
      <c r="M164" s="1"/>
      <c r="N164" s="1"/>
      <c r="O164" s="1"/>
      <c r="P164" s="4"/>
      <c r="Q164" s="4"/>
      <c r="R164" s="1"/>
      <c r="S164" s="141"/>
      <c r="T164" s="1"/>
      <c r="U164" s="1"/>
    </row>
    <row r="165" spans="13:21" ht="12.75">
      <c r="M165" s="1"/>
      <c r="N165" s="1"/>
      <c r="O165" s="1"/>
      <c r="P165" s="4"/>
      <c r="Q165" s="67"/>
      <c r="R165" s="34"/>
      <c r="S165" s="141"/>
      <c r="T165" s="1"/>
      <c r="U165" s="1"/>
    </row>
    <row r="166" spans="13:21" ht="12.75">
      <c r="M166" s="1"/>
      <c r="N166" s="1"/>
      <c r="O166" s="1"/>
      <c r="P166" s="4"/>
      <c r="Q166" s="67"/>
      <c r="R166" s="34"/>
      <c r="S166" s="141"/>
      <c r="T166" s="1"/>
      <c r="U166" s="1"/>
    </row>
    <row r="167" spans="13:21" ht="12.75">
      <c r="M167" s="1"/>
      <c r="N167" s="1"/>
      <c r="O167" s="1"/>
      <c r="P167" s="4"/>
      <c r="Q167" s="67"/>
      <c r="R167" s="34"/>
      <c r="S167" s="141"/>
      <c r="T167" s="1"/>
      <c r="U167" s="1"/>
    </row>
    <row r="168" spans="13:21" ht="12.75">
      <c r="M168" s="1"/>
      <c r="N168" s="1"/>
      <c r="O168" s="1"/>
      <c r="P168" s="4"/>
      <c r="Q168" s="4"/>
      <c r="R168" s="1"/>
      <c r="S168" s="141"/>
      <c r="T168" s="1"/>
      <c r="U168" s="1"/>
    </row>
    <row r="169" spans="13:21" ht="12.75">
      <c r="M169" s="1"/>
      <c r="N169" s="1"/>
      <c r="O169" s="1"/>
      <c r="P169" s="4"/>
      <c r="Q169" s="4"/>
      <c r="R169" s="34"/>
      <c r="S169" s="141"/>
      <c r="T169" s="1"/>
      <c r="U169" s="1"/>
    </row>
    <row r="170" spans="13:21" ht="12.75">
      <c r="M170" s="1"/>
      <c r="N170" s="1"/>
      <c r="O170" s="1"/>
      <c r="P170" s="4"/>
      <c r="Q170" s="4"/>
      <c r="R170" s="34"/>
      <c r="S170" s="142"/>
      <c r="T170" s="1"/>
      <c r="U170" s="1"/>
    </row>
    <row r="171" spans="13:19" ht="12.75">
      <c r="M171" s="37"/>
      <c r="N171" s="37"/>
      <c r="O171" s="38"/>
      <c r="P171" s="39"/>
      <c r="Q171" s="39"/>
      <c r="R171" s="1"/>
      <c r="S171" s="1"/>
    </row>
  </sheetData>
  <mergeCells count="29">
    <mergeCell ref="Q5:U6"/>
    <mergeCell ref="Q7:U8"/>
    <mergeCell ref="S143:S150"/>
    <mergeCell ref="S153:S160"/>
    <mergeCell ref="S61:S68"/>
    <mergeCell ref="S71:S78"/>
    <mergeCell ref="S81:S88"/>
    <mergeCell ref="S93:S100"/>
    <mergeCell ref="S21:S28"/>
    <mergeCell ref="S31:S38"/>
    <mergeCell ref="S163:S170"/>
    <mergeCell ref="S103:S110"/>
    <mergeCell ref="S113:S120"/>
    <mergeCell ref="S123:S130"/>
    <mergeCell ref="S133:S140"/>
    <mergeCell ref="S41:S48"/>
    <mergeCell ref="S51:S58"/>
    <mergeCell ref="D6:E6"/>
    <mergeCell ref="C1:E1"/>
    <mergeCell ref="B2:F2"/>
    <mergeCell ref="B4:E4"/>
    <mergeCell ref="B3:F3"/>
    <mergeCell ref="S11:S18"/>
    <mergeCell ref="J7:J8"/>
    <mergeCell ref="G8:I8"/>
    <mergeCell ref="G19:I19"/>
    <mergeCell ref="K7:K8"/>
    <mergeCell ref="J19:J20"/>
    <mergeCell ref="K19:K2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5">
      <selection activeCell="M51" sqref="M51"/>
    </sheetView>
  </sheetViews>
  <sheetFormatPr defaultColWidth="9.00390625" defaultRowHeight="12.75"/>
  <cols>
    <col min="1" max="1" width="9.875" style="0" customWidth="1"/>
    <col min="2" max="2" width="15.00390625" style="0" customWidth="1"/>
    <col min="3" max="3" width="14.375" style="0" bestFit="1" customWidth="1"/>
    <col min="4" max="4" width="24.75390625" style="0" customWidth="1"/>
    <col min="5" max="5" width="32.00390625" style="0" customWidth="1"/>
    <col min="6" max="6" width="20.00390625" style="0" customWidth="1"/>
    <col min="7" max="7" width="15.625" style="0" customWidth="1"/>
    <col min="8" max="8" width="7.625" style="0" customWidth="1"/>
    <col min="9" max="9" width="13.25390625" style="0" customWidth="1"/>
    <col min="11" max="11" width="32.25390625" style="0" customWidth="1"/>
    <col min="12" max="12" width="5.00390625" style="0" customWidth="1"/>
    <col min="13" max="13" width="28.25390625" style="0" customWidth="1"/>
    <col min="14" max="14" width="11.75390625" style="0" customWidth="1"/>
    <col min="15" max="15" width="33.875" style="0" customWidth="1"/>
  </cols>
  <sheetData>
    <row r="1" spans="4:6" ht="12.75">
      <c r="D1" s="133" t="s">
        <v>638</v>
      </c>
      <c r="E1" s="133"/>
      <c r="F1" s="133"/>
    </row>
    <row r="2" spans="3:7" ht="14.25" customHeight="1">
      <c r="C2" s="153" t="s">
        <v>639</v>
      </c>
      <c r="D2" s="153"/>
      <c r="E2" s="153"/>
      <c r="F2" s="153"/>
      <c r="G2" s="153"/>
    </row>
    <row r="3" spans="3:13" ht="15.75" customHeight="1">
      <c r="C3" s="126" t="s">
        <v>640</v>
      </c>
      <c r="D3" s="126"/>
      <c r="E3" s="126"/>
      <c r="F3" s="126"/>
      <c r="G3" s="6"/>
      <c r="H3" s="133" t="s">
        <v>645</v>
      </c>
      <c r="I3" s="133"/>
      <c r="J3" s="133"/>
      <c r="K3" s="133"/>
      <c r="L3" s="133"/>
      <c r="M3" s="133"/>
    </row>
    <row r="4" spans="1:15" ht="31.5" customHeight="1">
      <c r="A4" s="24" t="s">
        <v>650</v>
      </c>
      <c r="B4" s="24" t="s">
        <v>641</v>
      </c>
      <c r="C4" s="4" t="s">
        <v>577</v>
      </c>
      <c r="D4" s="1" t="s">
        <v>642</v>
      </c>
      <c r="E4" s="1" t="s">
        <v>643</v>
      </c>
      <c r="F4" s="1" t="s">
        <v>644</v>
      </c>
      <c r="H4" s="1" t="s">
        <v>21</v>
      </c>
      <c r="I4" s="4" t="s">
        <v>22</v>
      </c>
      <c r="J4" s="24" t="s">
        <v>649</v>
      </c>
      <c r="K4" s="1" t="s">
        <v>646</v>
      </c>
      <c r="L4" s="1"/>
      <c r="M4" s="1" t="s">
        <v>647</v>
      </c>
      <c r="N4" s="1" t="s">
        <v>648</v>
      </c>
      <c r="O4" s="2" t="s">
        <v>12</v>
      </c>
    </row>
    <row r="5" spans="1:15" ht="12.75">
      <c r="A5" s="2">
        <v>1</v>
      </c>
      <c r="B5" s="55">
        <v>1</v>
      </c>
      <c r="C5" s="21" t="s">
        <v>706</v>
      </c>
      <c r="D5" s="1" t="s">
        <v>707</v>
      </c>
      <c r="E5" s="1" t="s">
        <v>1088</v>
      </c>
      <c r="F5" s="1" t="s">
        <v>1087</v>
      </c>
      <c r="H5" s="1">
        <v>1</v>
      </c>
      <c r="I5" s="3">
        <v>40705</v>
      </c>
      <c r="J5" s="12"/>
      <c r="K5" s="1" t="s">
        <v>1148</v>
      </c>
      <c r="L5" s="4" t="s">
        <v>1149</v>
      </c>
      <c r="M5" s="1" t="s">
        <v>1150</v>
      </c>
      <c r="N5" s="80" t="s">
        <v>1245</v>
      </c>
      <c r="O5" s="1" t="s">
        <v>1148</v>
      </c>
    </row>
    <row r="6" spans="1:15" ht="12.75">
      <c r="A6" s="2">
        <v>2</v>
      </c>
      <c r="B6" s="55">
        <v>2</v>
      </c>
      <c r="C6" s="21" t="s">
        <v>587</v>
      </c>
      <c r="D6" s="1" t="s">
        <v>851</v>
      </c>
      <c r="E6" s="1" t="s">
        <v>1089</v>
      </c>
      <c r="F6" s="1" t="s">
        <v>1090</v>
      </c>
      <c r="H6" s="1">
        <v>2</v>
      </c>
      <c r="I6" s="3">
        <v>40705</v>
      </c>
      <c r="J6" s="12"/>
      <c r="K6" s="1" t="s">
        <v>1151</v>
      </c>
      <c r="L6" s="99" t="s">
        <v>1149</v>
      </c>
      <c r="M6" s="57" t="s">
        <v>1152</v>
      </c>
      <c r="N6" s="80" t="s">
        <v>1246</v>
      </c>
      <c r="O6" s="1" t="s">
        <v>1151</v>
      </c>
    </row>
    <row r="7" spans="1:15" ht="12.75">
      <c r="A7" s="2">
        <v>3</v>
      </c>
      <c r="B7" s="55">
        <v>4</v>
      </c>
      <c r="C7" s="2" t="s">
        <v>601</v>
      </c>
      <c r="D7" s="1" t="s">
        <v>1091</v>
      </c>
      <c r="E7" s="1" t="s">
        <v>1092</v>
      </c>
      <c r="F7" s="1" t="s">
        <v>757</v>
      </c>
      <c r="H7" s="1">
        <v>3</v>
      </c>
      <c r="I7" s="3">
        <v>40705</v>
      </c>
      <c r="J7" s="12"/>
      <c r="K7" s="1" t="s">
        <v>1153</v>
      </c>
      <c r="L7" s="4" t="s">
        <v>1149</v>
      </c>
      <c r="M7" s="1" t="s">
        <v>1154</v>
      </c>
      <c r="N7" s="80" t="s">
        <v>1247</v>
      </c>
      <c r="O7" s="1" t="s">
        <v>1153</v>
      </c>
    </row>
    <row r="8" spans="1:15" ht="12.75">
      <c r="A8" s="2">
        <v>4</v>
      </c>
      <c r="B8" s="55">
        <v>3</v>
      </c>
      <c r="C8" s="2" t="s">
        <v>632</v>
      </c>
      <c r="D8" s="1" t="s">
        <v>633</v>
      </c>
      <c r="E8" s="1" t="s">
        <v>896</v>
      </c>
      <c r="F8" s="1" t="s">
        <v>1093</v>
      </c>
      <c r="H8" s="1">
        <v>4</v>
      </c>
      <c r="I8" s="3">
        <v>40705</v>
      </c>
      <c r="J8" s="12"/>
      <c r="K8" s="1" t="s">
        <v>1155</v>
      </c>
      <c r="L8" s="99" t="s">
        <v>1149</v>
      </c>
      <c r="M8" s="1" t="s">
        <v>1156</v>
      </c>
      <c r="N8" s="80" t="s">
        <v>1248</v>
      </c>
      <c r="O8" s="1" t="s">
        <v>1155</v>
      </c>
    </row>
    <row r="9" spans="1:15" ht="12.75">
      <c r="A9" s="2">
        <v>5</v>
      </c>
      <c r="B9" s="55">
        <v>12</v>
      </c>
      <c r="C9" s="2" t="s">
        <v>599</v>
      </c>
      <c r="D9" s="1" t="s">
        <v>1094</v>
      </c>
      <c r="E9" s="1" t="s">
        <v>1095</v>
      </c>
      <c r="F9" s="1" t="s">
        <v>1096</v>
      </c>
      <c r="H9" s="1">
        <v>5</v>
      </c>
      <c r="I9" s="3">
        <v>40705</v>
      </c>
      <c r="J9" s="12"/>
      <c r="K9" s="19" t="s">
        <v>1157</v>
      </c>
      <c r="L9" s="4" t="s">
        <v>1149</v>
      </c>
      <c r="M9" s="1" t="s">
        <v>1158</v>
      </c>
      <c r="N9" s="80" t="s">
        <v>1249</v>
      </c>
      <c r="O9" s="19" t="s">
        <v>1157</v>
      </c>
    </row>
    <row r="10" spans="1:15" ht="12.75">
      <c r="A10" s="2">
        <v>6</v>
      </c>
      <c r="B10" s="55">
        <v>11</v>
      </c>
      <c r="C10" s="2" t="s">
        <v>600</v>
      </c>
      <c r="D10" s="1" t="s">
        <v>665</v>
      </c>
      <c r="E10" s="1" t="s">
        <v>1097</v>
      </c>
      <c r="F10" s="1" t="s">
        <v>1098</v>
      </c>
      <c r="H10" s="1">
        <v>6</v>
      </c>
      <c r="I10" s="3">
        <v>40705</v>
      </c>
      <c r="J10" s="12"/>
      <c r="K10" s="1" t="s">
        <v>1160</v>
      </c>
      <c r="L10" s="99" t="s">
        <v>1149</v>
      </c>
      <c r="M10" s="1" t="s">
        <v>1159</v>
      </c>
      <c r="N10" s="80" t="s">
        <v>1250</v>
      </c>
      <c r="O10" s="1" t="s">
        <v>1160</v>
      </c>
    </row>
    <row r="11" spans="1:15" ht="12.75">
      <c r="A11" s="2">
        <v>7</v>
      </c>
      <c r="B11" s="55">
        <v>10</v>
      </c>
      <c r="C11" s="2" t="s">
        <v>595</v>
      </c>
      <c r="D11" s="1" t="s">
        <v>716</v>
      </c>
      <c r="E11" s="1" t="s">
        <v>1100</v>
      </c>
      <c r="F11" s="1" t="s">
        <v>1099</v>
      </c>
      <c r="H11" s="1">
        <v>7</v>
      </c>
      <c r="I11" s="3">
        <v>40705</v>
      </c>
      <c r="J11" s="12"/>
      <c r="K11" s="1" t="s">
        <v>1161</v>
      </c>
      <c r="L11" s="4" t="s">
        <v>1149</v>
      </c>
      <c r="M11" s="1" t="s">
        <v>1162</v>
      </c>
      <c r="N11" s="80" t="s">
        <v>1251</v>
      </c>
      <c r="O11" s="1" t="s">
        <v>1161</v>
      </c>
    </row>
    <row r="12" spans="1:15" ht="12.75">
      <c r="A12" s="2">
        <v>8</v>
      </c>
      <c r="B12" s="55">
        <v>9</v>
      </c>
      <c r="C12" s="2" t="s">
        <v>1016</v>
      </c>
      <c r="D12" s="1" t="s">
        <v>1101</v>
      </c>
      <c r="E12" s="1" t="s">
        <v>1102</v>
      </c>
      <c r="F12" s="1" t="s">
        <v>1103</v>
      </c>
      <c r="H12" s="1">
        <v>8</v>
      </c>
      <c r="I12" s="3">
        <v>40705</v>
      </c>
      <c r="J12" s="12"/>
      <c r="K12" s="1" t="s">
        <v>1163</v>
      </c>
      <c r="L12" s="99" t="s">
        <v>1149</v>
      </c>
      <c r="M12" s="1" t="s">
        <v>1164</v>
      </c>
      <c r="N12" s="80" t="s">
        <v>1266</v>
      </c>
      <c r="O12" s="1" t="s">
        <v>1164</v>
      </c>
    </row>
    <row r="13" spans="1:15" ht="12.75">
      <c r="A13" s="2">
        <v>9</v>
      </c>
      <c r="B13" s="55">
        <v>7</v>
      </c>
      <c r="C13" s="20" t="s">
        <v>886</v>
      </c>
      <c r="D13" s="1" t="s">
        <v>1104</v>
      </c>
      <c r="E13" s="1" t="s">
        <v>887</v>
      </c>
      <c r="F13" s="1" t="s">
        <v>900</v>
      </c>
      <c r="H13" s="1">
        <v>9</v>
      </c>
      <c r="I13" s="3">
        <v>40705</v>
      </c>
      <c r="J13" s="12"/>
      <c r="K13" s="1" t="s">
        <v>1165</v>
      </c>
      <c r="L13" s="4" t="s">
        <v>1149</v>
      </c>
      <c r="M13" s="1" t="s">
        <v>1166</v>
      </c>
      <c r="N13" s="80" t="s">
        <v>1252</v>
      </c>
      <c r="O13" s="1" t="s">
        <v>1165</v>
      </c>
    </row>
    <row r="14" spans="1:15" ht="12.75">
      <c r="A14" s="2">
        <v>10</v>
      </c>
      <c r="B14" s="55">
        <v>6</v>
      </c>
      <c r="C14" s="87" t="s">
        <v>659</v>
      </c>
      <c r="D14" s="1" t="s">
        <v>660</v>
      </c>
      <c r="E14" s="1" t="s">
        <v>846</v>
      </c>
      <c r="F14" s="1" t="s">
        <v>699</v>
      </c>
      <c r="H14" s="1">
        <v>10</v>
      </c>
      <c r="I14" s="3">
        <v>40705</v>
      </c>
      <c r="J14" s="12"/>
      <c r="K14" s="1" t="s">
        <v>1167</v>
      </c>
      <c r="L14" s="99" t="s">
        <v>1149</v>
      </c>
      <c r="M14" s="1" t="s">
        <v>1168</v>
      </c>
      <c r="N14" s="80" t="s">
        <v>1253</v>
      </c>
      <c r="O14" s="1" t="s">
        <v>1167</v>
      </c>
    </row>
    <row r="15" spans="1:15" ht="12.75">
      <c r="A15" s="2">
        <v>11</v>
      </c>
      <c r="B15" s="55">
        <v>5</v>
      </c>
      <c r="C15" s="2" t="s">
        <v>593</v>
      </c>
      <c r="D15" s="19" t="s">
        <v>905</v>
      </c>
      <c r="E15" s="19" t="s">
        <v>1078</v>
      </c>
      <c r="F15" s="19" t="s">
        <v>24</v>
      </c>
      <c r="H15" s="1">
        <v>11</v>
      </c>
      <c r="I15" s="3">
        <v>40705</v>
      </c>
      <c r="J15" s="12"/>
      <c r="K15" s="1" t="s">
        <v>1169</v>
      </c>
      <c r="L15" s="4" t="s">
        <v>1149</v>
      </c>
      <c r="M15" s="1" t="s">
        <v>1170</v>
      </c>
      <c r="N15" s="80" t="s">
        <v>1252</v>
      </c>
      <c r="O15" s="1" t="s">
        <v>1169</v>
      </c>
    </row>
    <row r="16" spans="1:15" ht="13.5" thickBot="1">
      <c r="A16" s="58">
        <v>12</v>
      </c>
      <c r="B16" s="70">
        <v>8</v>
      </c>
      <c r="C16" s="58" t="s">
        <v>588</v>
      </c>
      <c r="D16" s="59" t="s">
        <v>892</v>
      </c>
      <c r="E16" s="59" t="s">
        <v>1147</v>
      </c>
      <c r="F16" s="59" t="s">
        <v>1105</v>
      </c>
      <c r="H16" s="1">
        <v>12</v>
      </c>
      <c r="I16" s="3">
        <v>40705</v>
      </c>
      <c r="J16" s="12"/>
      <c r="K16" s="1" t="s">
        <v>1171</v>
      </c>
      <c r="L16" s="99" t="s">
        <v>1149</v>
      </c>
      <c r="M16" s="1" t="s">
        <v>1172</v>
      </c>
      <c r="N16" s="80" t="s">
        <v>1254</v>
      </c>
      <c r="O16" s="1" t="s">
        <v>1171</v>
      </c>
    </row>
    <row r="17" spans="1:15" ht="12.75">
      <c r="A17" s="56">
        <v>13</v>
      </c>
      <c r="B17" s="71">
        <v>14</v>
      </c>
      <c r="C17" s="87" t="s">
        <v>1015</v>
      </c>
      <c r="D17" s="57" t="s">
        <v>1106</v>
      </c>
      <c r="E17" s="57" t="s">
        <v>1107</v>
      </c>
      <c r="F17" s="57"/>
      <c r="H17" s="1">
        <v>13</v>
      </c>
      <c r="I17" s="3">
        <v>40705</v>
      </c>
      <c r="J17" s="12"/>
      <c r="K17" s="1" t="s">
        <v>1173</v>
      </c>
      <c r="L17" s="4" t="s">
        <v>1149</v>
      </c>
      <c r="M17" s="1" t="s">
        <v>1174</v>
      </c>
      <c r="N17" s="80" t="s">
        <v>1255</v>
      </c>
      <c r="O17" s="1" t="s">
        <v>1173</v>
      </c>
    </row>
    <row r="18" spans="1:15" ht="12.75">
      <c r="A18" s="2">
        <v>14</v>
      </c>
      <c r="B18" s="55">
        <v>13</v>
      </c>
      <c r="C18" s="2" t="s">
        <v>598</v>
      </c>
      <c r="D18" s="1" t="s">
        <v>775</v>
      </c>
      <c r="E18" s="1" t="s">
        <v>1108</v>
      </c>
      <c r="F18" s="1"/>
      <c r="H18" s="1">
        <v>14</v>
      </c>
      <c r="I18" s="3">
        <v>40705</v>
      </c>
      <c r="J18" s="12"/>
      <c r="K18" s="1" t="s">
        <v>1175</v>
      </c>
      <c r="L18" s="99" t="s">
        <v>1149</v>
      </c>
      <c r="M18" s="1" t="s">
        <v>1176</v>
      </c>
      <c r="N18" s="80" t="s">
        <v>1256</v>
      </c>
      <c r="O18" s="1" t="s">
        <v>1176</v>
      </c>
    </row>
    <row r="19" spans="1:15" ht="12.75">
      <c r="A19" s="2">
        <v>15</v>
      </c>
      <c r="B19" s="55">
        <v>17</v>
      </c>
      <c r="C19" s="2" t="s">
        <v>734</v>
      </c>
      <c r="D19" s="1" t="s">
        <v>1109</v>
      </c>
      <c r="E19" s="1" t="s">
        <v>735</v>
      </c>
      <c r="F19" s="1"/>
      <c r="H19" s="1">
        <v>15</v>
      </c>
      <c r="I19" s="3">
        <v>40705</v>
      </c>
      <c r="J19" s="12"/>
      <c r="K19" s="1" t="s">
        <v>1177</v>
      </c>
      <c r="L19" s="4" t="s">
        <v>1149</v>
      </c>
      <c r="M19" s="1" t="s">
        <v>1178</v>
      </c>
      <c r="N19" s="80" t="s">
        <v>1253</v>
      </c>
      <c r="O19" s="1" t="s">
        <v>1177</v>
      </c>
    </row>
    <row r="20" spans="1:15" ht="12.75">
      <c r="A20" s="2">
        <v>16</v>
      </c>
      <c r="B20" s="55">
        <v>18</v>
      </c>
      <c r="C20" s="2" t="s">
        <v>589</v>
      </c>
      <c r="D20" s="1" t="s">
        <v>1110</v>
      </c>
      <c r="E20" s="1" t="s">
        <v>1111</v>
      </c>
      <c r="F20" s="1"/>
      <c r="H20" s="1">
        <v>16</v>
      </c>
      <c r="I20" s="3">
        <v>40705</v>
      </c>
      <c r="J20" s="12"/>
      <c r="K20" s="1" t="s">
        <v>1179</v>
      </c>
      <c r="L20" s="99" t="s">
        <v>1149</v>
      </c>
      <c r="M20" s="1" t="s">
        <v>1180</v>
      </c>
      <c r="N20" s="80" t="s">
        <v>1252</v>
      </c>
      <c r="O20" s="1" t="s">
        <v>1179</v>
      </c>
    </row>
    <row r="21" spans="1:15" ht="12.75">
      <c r="A21" s="2">
        <v>17</v>
      </c>
      <c r="B21" s="55">
        <v>16</v>
      </c>
      <c r="C21" s="2" t="s">
        <v>725</v>
      </c>
      <c r="D21" s="1" t="s">
        <v>726</v>
      </c>
      <c r="E21" s="1" t="s">
        <v>1112</v>
      </c>
      <c r="F21" s="1"/>
      <c r="H21" s="1">
        <v>17</v>
      </c>
      <c r="I21" s="3">
        <v>40705</v>
      </c>
      <c r="J21" s="12"/>
      <c r="K21" s="1" t="s">
        <v>1181</v>
      </c>
      <c r="L21" s="4" t="s">
        <v>1149</v>
      </c>
      <c r="M21" s="1" t="s">
        <v>1182</v>
      </c>
      <c r="N21" s="80" t="s">
        <v>1265</v>
      </c>
      <c r="O21" s="1" t="s">
        <v>1181</v>
      </c>
    </row>
    <row r="22" spans="1:15" ht="13.5" thickBot="1">
      <c r="A22" s="58">
        <v>18</v>
      </c>
      <c r="B22" s="70">
        <v>15</v>
      </c>
      <c r="C22" s="58" t="s">
        <v>596</v>
      </c>
      <c r="D22" s="59" t="s">
        <v>1113</v>
      </c>
      <c r="E22" s="59" t="s">
        <v>830</v>
      </c>
      <c r="F22" s="59"/>
      <c r="H22" s="1">
        <v>18</v>
      </c>
      <c r="I22" s="3">
        <v>40705</v>
      </c>
      <c r="J22" s="12"/>
      <c r="K22" s="1" t="s">
        <v>1183</v>
      </c>
      <c r="L22" s="99" t="s">
        <v>1149</v>
      </c>
      <c r="M22" s="1" t="s">
        <v>1184</v>
      </c>
      <c r="N22" s="80" t="s">
        <v>1253</v>
      </c>
      <c r="O22" s="1" t="s">
        <v>1183</v>
      </c>
    </row>
    <row r="23" spans="1:15" ht="12.75">
      <c r="A23" s="56">
        <v>19</v>
      </c>
      <c r="B23" s="71">
        <v>21</v>
      </c>
      <c r="C23" s="2" t="s">
        <v>843</v>
      </c>
      <c r="D23" s="57" t="s">
        <v>1114</v>
      </c>
      <c r="E23" s="57" t="s">
        <v>844</v>
      </c>
      <c r="F23" s="57"/>
      <c r="H23" s="1">
        <v>19</v>
      </c>
      <c r="I23" s="3">
        <v>40705</v>
      </c>
      <c r="J23" s="12"/>
      <c r="K23" s="1" t="s">
        <v>1185</v>
      </c>
      <c r="L23" s="4" t="s">
        <v>1149</v>
      </c>
      <c r="M23" s="1" t="s">
        <v>1186</v>
      </c>
      <c r="N23" s="80" t="s">
        <v>1257</v>
      </c>
      <c r="O23" s="1" t="s">
        <v>1185</v>
      </c>
    </row>
    <row r="24" spans="1:15" ht="12.75">
      <c r="A24" s="2">
        <v>20</v>
      </c>
      <c r="B24" s="55">
        <v>19</v>
      </c>
      <c r="C24" s="2" t="s">
        <v>802</v>
      </c>
      <c r="D24" s="1" t="s">
        <v>803</v>
      </c>
      <c r="E24" s="1" t="s">
        <v>1115</v>
      </c>
      <c r="F24" s="1"/>
      <c r="H24" s="1">
        <v>20</v>
      </c>
      <c r="I24" s="3">
        <v>40705</v>
      </c>
      <c r="J24" s="12"/>
      <c r="K24" s="1" t="s">
        <v>1187</v>
      </c>
      <c r="L24" s="99" t="s">
        <v>1149</v>
      </c>
      <c r="M24" s="1" t="s">
        <v>1188</v>
      </c>
      <c r="N24" s="80" t="s">
        <v>1256</v>
      </c>
      <c r="O24" s="1" t="s">
        <v>1188</v>
      </c>
    </row>
    <row r="25" spans="1:15" ht="12.75">
      <c r="A25" s="2">
        <v>21</v>
      </c>
      <c r="B25" s="55">
        <v>29</v>
      </c>
      <c r="C25" s="2" t="s">
        <v>1019</v>
      </c>
      <c r="D25" s="1" t="s">
        <v>1116</v>
      </c>
      <c r="E25" s="1" t="s">
        <v>1117</v>
      </c>
      <c r="F25" s="1"/>
      <c r="H25" s="1">
        <v>21</v>
      </c>
      <c r="I25" s="3">
        <v>40705</v>
      </c>
      <c r="J25" s="12"/>
      <c r="K25" s="1" t="s">
        <v>1189</v>
      </c>
      <c r="L25" s="4" t="s">
        <v>1149</v>
      </c>
      <c r="M25" s="1" t="s">
        <v>1201</v>
      </c>
      <c r="N25" s="80" t="s">
        <v>1257</v>
      </c>
      <c r="O25" s="1" t="s">
        <v>1189</v>
      </c>
    </row>
    <row r="26" spans="1:15" ht="12.75">
      <c r="A26" s="2">
        <v>22</v>
      </c>
      <c r="B26" s="55">
        <v>22</v>
      </c>
      <c r="C26" s="21" t="s">
        <v>592</v>
      </c>
      <c r="D26" s="1" t="s">
        <v>794</v>
      </c>
      <c r="E26" s="1" t="s">
        <v>895</v>
      </c>
      <c r="F26" s="1"/>
      <c r="H26" s="1">
        <v>22</v>
      </c>
      <c r="I26" s="3">
        <v>40705</v>
      </c>
      <c r="J26" s="12"/>
      <c r="K26" s="1" t="s">
        <v>1190</v>
      </c>
      <c r="L26" s="99" t="s">
        <v>1149</v>
      </c>
      <c r="M26" s="1" t="s">
        <v>1191</v>
      </c>
      <c r="N26" s="80" t="s">
        <v>1258</v>
      </c>
      <c r="O26" s="1" t="s">
        <v>1190</v>
      </c>
    </row>
    <row r="27" spans="1:15" ht="12.75">
      <c r="A27" s="2">
        <v>23</v>
      </c>
      <c r="B27" s="55">
        <v>24</v>
      </c>
      <c r="C27" s="2" t="s">
        <v>1028</v>
      </c>
      <c r="D27" s="1" t="s">
        <v>1118</v>
      </c>
      <c r="E27" s="1" t="s">
        <v>1119</v>
      </c>
      <c r="F27" s="1"/>
      <c r="H27" s="1">
        <v>23</v>
      </c>
      <c r="I27" s="3">
        <v>40705</v>
      </c>
      <c r="J27" s="12"/>
      <c r="K27" s="19" t="s">
        <v>1192</v>
      </c>
      <c r="L27" s="4" t="s">
        <v>1149</v>
      </c>
      <c r="M27" s="1" t="s">
        <v>1193</v>
      </c>
      <c r="N27" s="80" t="s">
        <v>1253</v>
      </c>
      <c r="O27" s="19" t="s">
        <v>1192</v>
      </c>
    </row>
    <row r="28" spans="1:15" ht="12.75">
      <c r="A28" s="2">
        <v>24</v>
      </c>
      <c r="B28" s="55">
        <v>23</v>
      </c>
      <c r="C28" s="2" t="s">
        <v>781</v>
      </c>
      <c r="D28" s="1" t="s">
        <v>782</v>
      </c>
      <c r="E28" s="1" t="s">
        <v>1120</v>
      </c>
      <c r="F28" s="1"/>
      <c r="H28" s="1">
        <v>24</v>
      </c>
      <c r="I28" s="3">
        <v>40705</v>
      </c>
      <c r="J28" s="12"/>
      <c r="K28" s="1" t="s">
        <v>1194</v>
      </c>
      <c r="L28" s="99" t="s">
        <v>1149</v>
      </c>
      <c r="M28" s="1" t="s">
        <v>1195</v>
      </c>
      <c r="N28" s="80" t="s">
        <v>1257</v>
      </c>
      <c r="O28" s="1" t="s">
        <v>1194</v>
      </c>
    </row>
    <row r="29" spans="1:15" ht="12.75">
      <c r="A29" s="2">
        <v>25</v>
      </c>
      <c r="B29" s="55">
        <v>25</v>
      </c>
      <c r="C29" s="2" t="s">
        <v>1024</v>
      </c>
      <c r="D29" s="1" t="s">
        <v>1121</v>
      </c>
      <c r="E29" s="1" t="s">
        <v>1122</v>
      </c>
      <c r="F29" s="1"/>
      <c r="H29" s="1">
        <v>25</v>
      </c>
      <c r="I29" s="3">
        <v>40706</v>
      </c>
      <c r="J29" s="12"/>
      <c r="K29" s="1" t="s">
        <v>1196</v>
      </c>
      <c r="L29" s="4" t="s">
        <v>1149</v>
      </c>
      <c r="M29" s="1" t="s">
        <v>1197</v>
      </c>
      <c r="N29" s="80" t="s">
        <v>1252</v>
      </c>
      <c r="O29" s="1" t="s">
        <v>1196</v>
      </c>
    </row>
    <row r="30" spans="1:15" ht="12.75">
      <c r="A30" s="2">
        <v>26</v>
      </c>
      <c r="B30" s="55">
        <v>26</v>
      </c>
      <c r="C30" s="2" t="s">
        <v>685</v>
      </c>
      <c r="D30" s="1" t="s">
        <v>686</v>
      </c>
      <c r="E30" s="1" t="s">
        <v>764</v>
      </c>
      <c r="F30" s="1"/>
      <c r="H30" s="1">
        <v>26</v>
      </c>
      <c r="I30" s="3">
        <v>40706</v>
      </c>
      <c r="J30" s="12"/>
      <c r="K30" s="1" t="s">
        <v>1198</v>
      </c>
      <c r="L30" s="99" t="s">
        <v>1149</v>
      </c>
      <c r="M30" s="1" t="s">
        <v>1199</v>
      </c>
      <c r="N30" s="80" t="s">
        <v>1257</v>
      </c>
      <c r="O30" s="1" t="s">
        <v>1198</v>
      </c>
    </row>
    <row r="31" spans="1:15" ht="12.75">
      <c r="A31" s="2">
        <v>27</v>
      </c>
      <c r="B31" s="55">
        <v>27</v>
      </c>
      <c r="C31" s="2" t="s">
        <v>1022</v>
      </c>
      <c r="D31" s="1" t="s">
        <v>1123</v>
      </c>
      <c r="E31" s="1" t="s">
        <v>1124</v>
      </c>
      <c r="F31" s="1"/>
      <c r="H31" s="1">
        <v>27</v>
      </c>
      <c r="I31" s="3">
        <v>40706</v>
      </c>
      <c r="J31" s="12"/>
      <c r="K31" s="1" t="s">
        <v>1200</v>
      </c>
      <c r="L31" s="4" t="s">
        <v>1149</v>
      </c>
      <c r="M31" s="1" t="s">
        <v>1202</v>
      </c>
      <c r="N31" s="80" t="s">
        <v>1255</v>
      </c>
      <c r="O31" s="1" t="s">
        <v>1200</v>
      </c>
    </row>
    <row r="32" spans="1:15" ht="12.75">
      <c r="A32" s="2">
        <v>28</v>
      </c>
      <c r="B32" s="55">
        <v>30</v>
      </c>
      <c r="C32" s="2" t="s">
        <v>1017</v>
      </c>
      <c r="D32" s="1" t="s">
        <v>1125</v>
      </c>
      <c r="E32" s="1" t="s">
        <v>1126</v>
      </c>
      <c r="F32" s="1"/>
      <c r="H32" s="1">
        <v>28</v>
      </c>
      <c r="I32" s="3">
        <v>40706</v>
      </c>
      <c r="J32" s="12"/>
      <c r="K32" s="1" t="s">
        <v>1203</v>
      </c>
      <c r="L32" s="99" t="s">
        <v>1149</v>
      </c>
      <c r="M32" s="1" t="s">
        <v>1204</v>
      </c>
      <c r="N32" s="80" t="s">
        <v>1259</v>
      </c>
      <c r="O32" s="1" t="s">
        <v>1203</v>
      </c>
    </row>
    <row r="33" spans="1:15" ht="12.75">
      <c r="A33" s="2">
        <v>29</v>
      </c>
      <c r="B33" s="55">
        <v>28</v>
      </c>
      <c r="C33" s="2" t="s">
        <v>627</v>
      </c>
      <c r="D33" s="1" t="s">
        <v>628</v>
      </c>
      <c r="E33" s="1" t="s">
        <v>1127</v>
      </c>
      <c r="F33" s="1"/>
      <c r="H33" s="1">
        <v>29</v>
      </c>
      <c r="I33" s="3">
        <v>40706</v>
      </c>
      <c r="J33" s="12"/>
      <c r="K33" s="1" t="s">
        <v>1205</v>
      </c>
      <c r="L33" s="4" t="s">
        <v>1149</v>
      </c>
      <c r="M33" s="1" t="s">
        <v>1206</v>
      </c>
      <c r="N33" s="80" t="s">
        <v>1260</v>
      </c>
      <c r="O33" s="1" t="s">
        <v>1206</v>
      </c>
    </row>
    <row r="34" spans="1:15" ht="12.75">
      <c r="A34" s="2">
        <v>30</v>
      </c>
      <c r="B34" s="55">
        <v>36</v>
      </c>
      <c r="C34" s="2" t="s">
        <v>690</v>
      </c>
      <c r="D34" s="1" t="s">
        <v>691</v>
      </c>
      <c r="E34" s="1" t="s">
        <v>826</v>
      </c>
      <c r="F34" s="1"/>
      <c r="H34" s="1">
        <v>30</v>
      </c>
      <c r="I34" s="3">
        <v>40706</v>
      </c>
      <c r="J34" s="12"/>
      <c r="K34" s="1" t="s">
        <v>1207</v>
      </c>
      <c r="L34" s="99" t="s">
        <v>1149</v>
      </c>
      <c r="M34" s="1" t="s">
        <v>1208</v>
      </c>
      <c r="N34" s="80" t="s">
        <v>1264</v>
      </c>
      <c r="O34" s="1" t="s">
        <v>1208</v>
      </c>
    </row>
    <row r="35" spans="1:15" ht="12.75">
      <c r="A35" s="2">
        <v>31</v>
      </c>
      <c r="B35" s="55">
        <v>34</v>
      </c>
      <c r="C35" s="2" t="s">
        <v>1021</v>
      </c>
      <c r="D35" s="1" t="s">
        <v>1128</v>
      </c>
      <c r="E35" s="1" t="s">
        <v>1129</v>
      </c>
      <c r="F35" s="1"/>
      <c r="H35" s="1">
        <v>31</v>
      </c>
      <c r="I35" s="3">
        <v>40706</v>
      </c>
      <c r="J35" s="12"/>
      <c r="K35" s="1" t="s">
        <v>1209</v>
      </c>
      <c r="L35" s="4" t="s">
        <v>1149</v>
      </c>
      <c r="M35" s="57" t="s">
        <v>1210</v>
      </c>
      <c r="N35" s="80" t="s">
        <v>1261</v>
      </c>
      <c r="O35" s="1" t="s">
        <v>1209</v>
      </c>
    </row>
    <row r="36" spans="1:15" ht="12.75">
      <c r="A36" s="2">
        <v>32</v>
      </c>
      <c r="B36" s="55">
        <v>33</v>
      </c>
      <c r="C36" s="2" t="s">
        <v>785</v>
      </c>
      <c r="D36" s="1" t="s">
        <v>786</v>
      </c>
      <c r="E36" s="1" t="s">
        <v>897</v>
      </c>
      <c r="F36" s="1"/>
      <c r="H36" s="1">
        <v>32</v>
      </c>
      <c r="I36" s="3">
        <v>40706</v>
      </c>
      <c r="J36" s="12"/>
      <c r="K36" s="1" t="s">
        <v>1211</v>
      </c>
      <c r="L36" s="99" t="s">
        <v>1149</v>
      </c>
      <c r="M36" s="1" t="s">
        <v>1212</v>
      </c>
      <c r="N36" s="80" t="s">
        <v>1257</v>
      </c>
      <c r="O36" s="1" t="s">
        <v>1211</v>
      </c>
    </row>
    <row r="37" spans="1:15" ht="12.75">
      <c r="A37" s="2">
        <v>33</v>
      </c>
      <c r="B37" s="55">
        <v>35</v>
      </c>
      <c r="C37" s="2" t="s">
        <v>602</v>
      </c>
      <c r="D37" s="1" t="s">
        <v>744</v>
      </c>
      <c r="E37" s="1" t="s">
        <v>1130</v>
      </c>
      <c r="F37" s="1"/>
      <c r="H37" s="1">
        <v>33</v>
      </c>
      <c r="I37" s="3">
        <v>40706</v>
      </c>
      <c r="J37" s="12"/>
      <c r="K37" s="1" t="s">
        <v>1213</v>
      </c>
      <c r="L37" s="4" t="s">
        <v>1149</v>
      </c>
      <c r="M37" s="1" t="s">
        <v>1214</v>
      </c>
      <c r="N37" s="80" t="s">
        <v>1262</v>
      </c>
      <c r="O37" s="1" t="s">
        <v>1214</v>
      </c>
    </row>
    <row r="38" spans="1:15" ht="12.75">
      <c r="A38" s="2">
        <v>34</v>
      </c>
      <c r="B38" s="55">
        <v>32</v>
      </c>
      <c r="C38" s="87" t="s">
        <v>720</v>
      </c>
      <c r="D38" s="1" t="s">
        <v>721</v>
      </c>
      <c r="E38" s="1" t="s">
        <v>1131</v>
      </c>
      <c r="F38" s="1"/>
      <c r="H38" s="1">
        <v>34</v>
      </c>
      <c r="I38" s="3">
        <v>40706</v>
      </c>
      <c r="J38" s="12"/>
      <c r="K38" s="1" t="s">
        <v>1215</v>
      </c>
      <c r="L38" s="99" t="s">
        <v>1149</v>
      </c>
      <c r="M38" s="1" t="s">
        <v>1216</v>
      </c>
      <c r="N38" s="80" t="s">
        <v>1259</v>
      </c>
      <c r="O38" s="1" t="s">
        <v>1215</v>
      </c>
    </row>
    <row r="39" spans="1:15" ht="12.75">
      <c r="A39" s="2">
        <v>35</v>
      </c>
      <c r="B39" s="55">
        <v>31</v>
      </c>
      <c r="C39" s="2" t="s">
        <v>1025</v>
      </c>
      <c r="D39" s="1" t="s">
        <v>1132</v>
      </c>
      <c r="E39" s="1" t="s">
        <v>1133</v>
      </c>
      <c r="F39" s="1"/>
      <c r="H39" s="1">
        <v>35</v>
      </c>
      <c r="I39" s="3">
        <v>40706</v>
      </c>
      <c r="J39" s="12"/>
      <c r="K39" s="1" t="s">
        <v>1217</v>
      </c>
      <c r="L39" s="4" t="s">
        <v>1149</v>
      </c>
      <c r="M39" s="1" t="s">
        <v>1218</v>
      </c>
      <c r="N39" s="80" t="s">
        <v>1263</v>
      </c>
      <c r="O39" s="1" t="s">
        <v>1218</v>
      </c>
    </row>
    <row r="40" spans="1:15" ht="13.5" thickBot="1">
      <c r="A40" s="58">
        <v>36</v>
      </c>
      <c r="B40" s="70">
        <v>20</v>
      </c>
      <c r="C40" s="58" t="s">
        <v>1027</v>
      </c>
      <c r="D40" s="59" t="s">
        <v>1134</v>
      </c>
      <c r="E40" s="59" t="s">
        <v>1135</v>
      </c>
      <c r="F40" s="59"/>
      <c r="H40" s="1">
        <v>36</v>
      </c>
      <c r="I40" s="3">
        <v>40706</v>
      </c>
      <c r="J40" s="12"/>
      <c r="K40" s="1" t="s">
        <v>1219</v>
      </c>
      <c r="L40" s="99" t="s">
        <v>1149</v>
      </c>
      <c r="M40" s="1" t="s">
        <v>1220</v>
      </c>
      <c r="N40" s="80" t="s">
        <v>1267</v>
      </c>
      <c r="O40" s="1" t="s">
        <v>1219</v>
      </c>
    </row>
    <row r="41" spans="1:15" ht="12.75">
      <c r="A41" s="56">
        <v>37</v>
      </c>
      <c r="B41" s="71">
        <v>41</v>
      </c>
      <c r="C41" s="2" t="s">
        <v>1029</v>
      </c>
      <c r="D41" s="57" t="s">
        <v>1136</v>
      </c>
      <c r="E41" s="57"/>
      <c r="F41" s="57"/>
      <c r="H41" s="1">
        <v>37</v>
      </c>
      <c r="I41" s="3">
        <v>40706</v>
      </c>
      <c r="J41" s="12"/>
      <c r="K41" s="57" t="s">
        <v>1221</v>
      </c>
      <c r="L41" s="4" t="s">
        <v>1149</v>
      </c>
      <c r="M41" s="57" t="s">
        <v>1222</v>
      </c>
      <c r="N41" s="80" t="s">
        <v>1257</v>
      </c>
      <c r="O41" s="57" t="s">
        <v>1221</v>
      </c>
    </row>
    <row r="42" spans="1:15" ht="12.75">
      <c r="A42" s="2">
        <v>38</v>
      </c>
      <c r="B42" s="55">
        <v>37</v>
      </c>
      <c r="C42" s="2" t="s">
        <v>1020</v>
      </c>
      <c r="D42" s="1" t="s">
        <v>1137</v>
      </c>
      <c r="E42" s="1"/>
      <c r="F42" s="1"/>
      <c r="H42" s="1">
        <v>38</v>
      </c>
      <c r="I42" s="3">
        <v>40706</v>
      </c>
      <c r="J42" s="12"/>
      <c r="K42" s="1" t="s">
        <v>1223</v>
      </c>
      <c r="L42" s="99" t="s">
        <v>1149</v>
      </c>
      <c r="M42" s="1" t="s">
        <v>1224</v>
      </c>
      <c r="N42" s="80" t="s">
        <v>1250</v>
      </c>
      <c r="O42" s="1" t="s">
        <v>1223</v>
      </c>
    </row>
    <row r="43" spans="1:15" ht="12.75">
      <c r="A43" s="2">
        <v>39</v>
      </c>
      <c r="B43" s="55">
        <v>38</v>
      </c>
      <c r="C43" s="2" t="s">
        <v>654</v>
      </c>
      <c r="D43" s="1" t="s">
        <v>655</v>
      </c>
      <c r="E43" s="1"/>
      <c r="F43" s="1"/>
      <c r="H43" s="1">
        <v>39</v>
      </c>
      <c r="I43" s="3">
        <v>40706</v>
      </c>
      <c r="J43" s="12"/>
      <c r="K43" s="1" t="s">
        <v>1225</v>
      </c>
      <c r="L43" s="4" t="s">
        <v>1149</v>
      </c>
      <c r="M43" s="1" t="s">
        <v>1226</v>
      </c>
      <c r="N43" s="80" t="s">
        <v>1263</v>
      </c>
      <c r="O43" s="1" t="s">
        <v>1226</v>
      </c>
    </row>
    <row r="44" spans="1:15" ht="12.75">
      <c r="A44" s="56">
        <v>40</v>
      </c>
      <c r="B44" s="55">
        <v>42</v>
      </c>
      <c r="C44" s="2" t="s">
        <v>790</v>
      </c>
      <c r="D44" s="1" t="s">
        <v>1138</v>
      </c>
      <c r="E44" s="1"/>
      <c r="F44" s="1"/>
      <c r="H44" s="1">
        <v>40</v>
      </c>
      <c r="I44" s="3">
        <v>40706</v>
      </c>
      <c r="J44" s="12"/>
      <c r="K44" s="1" t="s">
        <v>1227</v>
      </c>
      <c r="L44" s="99" t="s">
        <v>1149</v>
      </c>
      <c r="M44" s="1" t="s">
        <v>1228</v>
      </c>
      <c r="N44" s="80" t="s">
        <v>1268</v>
      </c>
      <c r="O44" s="1" t="s">
        <v>1228</v>
      </c>
    </row>
    <row r="45" spans="1:15" ht="12.75">
      <c r="A45" s="2">
        <v>41</v>
      </c>
      <c r="B45" s="55">
        <v>39</v>
      </c>
      <c r="C45" s="2" t="s">
        <v>669</v>
      </c>
      <c r="D45" s="1" t="s">
        <v>670</v>
      </c>
      <c r="E45" s="1"/>
      <c r="F45" s="1"/>
      <c r="H45" s="1">
        <v>41</v>
      </c>
      <c r="I45" s="3">
        <v>40706</v>
      </c>
      <c r="J45" s="12"/>
      <c r="K45" s="1" t="s">
        <v>1230</v>
      </c>
      <c r="L45" s="4" t="s">
        <v>1149</v>
      </c>
      <c r="M45" s="1" t="s">
        <v>1229</v>
      </c>
      <c r="N45" s="80" t="s">
        <v>1257</v>
      </c>
      <c r="O45" s="1" t="s">
        <v>1230</v>
      </c>
    </row>
    <row r="46" spans="1:15" ht="13.5" thickBot="1">
      <c r="A46" s="58">
        <v>42</v>
      </c>
      <c r="B46" s="70">
        <v>40</v>
      </c>
      <c r="C46" s="58" t="s">
        <v>1018</v>
      </c>
      <c r="D46" s="59" t="s">
        <v>1139</v>
      </c>
      <c r="E46" s="59"/>
      <c r="F46" s="59"/>
      <c r="H46" s="1">
        <v>42</v>
      </c>
      <c r="I46" s="3">
        <v>40706</v>
      </c>
      <c r="J46" s="12"/>
      <c r="K46" s="1" t="s">
        <v>1231</v>
      </c>
      <c r="L46" s="99" t="s">
        <v>1149</v>
      </c>
      <c r="M46" s="1" t="s">
        <v>1232</v>
      </c>
      <c r="N46" s="80" t="s">
        <v>1260</v>
      </c>
      <c r="O46" s="1" t="s">
        <v>1232</v>
      </c>
    </row>
    <row r="47" spans="1:15" ht="12.75">
      <c r="A47" s="56">
        <v>43</v>
      </c>
      <c r="B47" s="71">
        <v>44</v>
      </c>
      <c r="C47" s="56" t="s">
        <v>1023</v>
      </c>
      <c r="D47" s="57" t="s">
        <v>1140</v>
      </c>
      <c r="E47" s="57"/>
      <c r="F47" s="57"/>
      <c r="H47" s="1">
        <v>43</v>
      </c>
      <c r="I47" s="3">
        <v>40706</v>
      </c>
      <c r="J47" s="12"/>
      <c r="K47" s="57" t="s">
        <v>1234</v>
      </c>
      <c r="L47" s="4" t="s">
        <v>1149</v>
      </c>
      <c r="M47" s="57" t="s">
        <v>1233</v>
      </c>
      <c r="N47" s="80" t="s">
        <v>1269</v>
      </c>
      <c r="O47" s="57" t="s">
        <v>1233</v>
      </c>
    </row>
    <row r="48" spans="1:15" ht="12.75">
      <c r="A48" s="2">
        <v>44</v>
      </c>
      <c r="B48" s="55">
        <v>43</v>
      </c>
      <c r="C48" s="2" t="s">
        <v>1026</v>
      </c>
      <c r="D48" s="1" t="s">
        <v>1141</v>
      </c>
      <c r="E48" s="1"/>
      <c r="F48" s="1"/>
      <c r="H48" s="1">
        <v>44</v>
      </c>
      <c r="I48" s="3">
        <v>40706</v>
      </c>
      <c r="J48" s="12"/>
      <c r="K48" s="1" t="s">
        <v>1235</v>
      </c>
      <c r="L48" s="99" t="s">
        <v>1149</v>
      </c>
      <c r="M48" s="1" t="s">
        <v>1236</v>
      </c>
      <c r="N48" s="80" t="s">
        <v>1255</v>
      </c>
      <c r="O48" s="1" t="s">
        <v>1235</v>
      </c>
    </row>
    <row r="49" spans="1:15" ht="12.75">
      <c r="A49" s="2">
        <v>45</v>
      </c>
      <c r="B49" s="55">
        <v>45</v>
      </c>
      <c r="C49" s="2" t="s">
        <v>1030</v>
      </c>
      <c r="D49" s="1" t="s">
        <v>1142</v>
      </c>
      <c r="E49" s="1"/>
      <c r="F49" s="1"/>
      <c r="H49" s="1">
        <v>45</v>
      </c>
      <c r="I49" s="3">
        <v>40706</v>
      </c>
      <c r="J49" s="12"/>
      <c r="K49" s="1" t="s">
        <v>1237</v>
      </c>
      <c r="L49" s="4" t="s">
        <v>1149</v>
      </c>
      <c r="M49" s="1" t="s">
        <v>1238</v>
      </c>
      <c r="N49" s="80" t="s">
        <v>1253</v>
      </c>
      <c r="O49" s="1" t="s">
        <v>1237</v>
      </c>
    </row>
    <row r="50" spans="1:15" ht="12.75">
      <c r="A50" s="2">
        <v>46</v>
      </c>
      <c r="B50" s="55">
        <v>46</v>
      </c>
      <c r="C50" s="2" t="s">
        <v>1031</v>
      </c>
      <c r="D50" s="1" t="s">
        <v>1144</v>
      </c>
      <c r="E50" s="1"/>
      <c r="F50" s="1"/>
      <c r="H50" s="1">
        <v>46</v>
      </c>
      <c r="I50" s="3">
        <v>40706</v>
      </c>
      <c r="J50" s="12"/>
      <c r="K50" s="1" t="s">
        <v>1244</v>
      </c>
      <c r="L50" s="99" t="s">
        <v>1149</v>
      </c>
      <c r="M50" s="1" t="s">
        <v>1239</v>
      </c>
      <c r="N50" s="80" t="s">
        <v>1253</v>
      </c>
      <c r="O50" s="1" t="s">
        <v>1244</v>
      </c>
    </row>
    <row r="51" spans="1:15" ht="12.75">
      <c r="A51" s="2">
        <v>47</v>
      </c>
      <c r="B51" s="55">
        <v>47</v>
      </c>
      <c r="C51" s="2" t="s">
        <v>1032</v>
      </c>
      <c r="D51" s="1" t="s">
        <v>1143</v>
      </c>
      <c r="E51" s="1"/>
      <c r="F51" s="1"/>
      <c r="H51" s="1">
        <v>47</v>
      </c>
      <c r="I51" s="3">
        <v>40706</v>
      </c>
      <c r="J51" s="12"/>
      <c r="K51" s="1" t="s">
        <v>1243</v>
      </c>
      <c r="L51" s="4" t="s">
        <v>1149</v>
      </c>
      <c r="M51" s="1" t="s">
        <v>1240</v>
      </c>
      <c r="N51" s="80" t="s">
        <v>1252</v>
      </c>
      <c r="O51" s="1" t="s">
        <v>1243</v>
      </c>
    </row>
    <row r="52" spans="1:15" ht="12.75">
      <c r="A52" s="2">
        <v>48</v>
      </c>
      <c r="B52" s="151">
        <v>48</v>
      </c>
      <c r="C52" s="2" t="s">
        <v>1033</v>
      </c>
      <c r="D52" s="154" t="s">
        <v>1145</v>
      </c>
      <c r="E52" s="155"/>
      <c r="F52" s="156"/>
      <c r="H52" s="1">
        <v>48</v>
      </c>
      <c r="I52" s="3">
        <v>40706</v>
      </c>
      <c r="J52" s="12"/>
      <c r="K52" s="1" t="s">
        <v>1242</v>
      </c>
      <c r="L52" s="99" t="s">
        <v>1149</v>
      </c>
      <c r="M52" s="1" t="s">
        <v>1241</v>
      </c>
      <c r="N52" s="80" t="s">
        <v>1252</v>
      </c>
      <c r="O52" s="1" t="s">
        <v>1242</v>
      </c>
    </row>
    <row r="53" spans="1:6" ht="12.75">
      <c r="A53" s="2">
        <v>49</v>
      </c>
      <c r="B53" s="152"/>
      <c r="C53" s="2" t="s">
        <v>1034</v>
      </c>
      <c r="D53" s="157"/>
      <c r="E53" s="134"/>
      <c r="F53" s="158"/>
    </row>
    <row r="54" spans="1:15" ht="12.75">
      <c r="A54" s="1"/>
      <c r="B54" s="1"/>
      <c r="C54" s="1"/>
      <c r="D54" s="135" t="s">
        <v>1146</v>
      </c>
      <c r="E54" s="135"/>
      <c r="F54" s="135"/>
      <c r="H54" s="159" t="s">
        <v>501</v>
      </c>
      <c r="I54" s="159"/>
      <c r="J54" s="159"/>
      <c r="K54" s="159"/>
      <c r="L54" s="159"/>
      <c r="M54" s="159"/>
      <c r="N54" s="159"/>
      <c r="O54" s="159"/>
    </row>
  </sheetData>
  <mergeCells count="8">
    <mergeCell ref="D54:F54"/>
    <mergeCell ref="B52:B53"/>
    <mergeCell ref="H3:M3"/>
    <mergeCell ref="D1:F1"/>
    <mergeCell ref="C2:G2"/>
    <mergeCell ref="C3:F3"/>
    <mergeCell ref="D52:F53"/>
    <mergeCell ref="H54:O5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 Zembank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rm-3</cp:lastModifiedBy>
  <dcterms:created xsi:type="dcterms:W3CDTF">2009-12-10T10:04:41Z</dcterms:created>
  <dcterms:modified xsi:type="dcterms:W3CDTF">2011-11-21T11:20:25Z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